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autoCompressPictures="0"/>
  <workbookProtection workbookAlgorithmName="SHA-512" workbookHashValue="FDm0YVlRHuvuR7ASQJ7z4n/c8bI9AuIKyHf8ujFWtWUkp7+Xm6/f03FyvVRZ4GAgW7GEWKWltQSnVHknWKh2BA==" workbookSaltValue="EX+GsGCD48ANiKbfOQgmtw==" workbookSpinCount="100000" lockStructure="1"/>
  <bookViews>
    <workbookView xWindow="-108" yWindow="-108" windowWidth="19416" windowHeight="10416"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S1596"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C552" i="5"/>
  <c r="V552" i="5" s="1"/>
  <c r="B552" i="5"/>
  <c r="AB552" i="5" s="1"/>
  <c r="C551" i="5"/>
  <c r="V551" i="5" s="1"/>
  <c r="B551"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C453" i="5"/>
  <c r="V453" i="5" s="1"/>
  <c r="B453" i="5"/>
  <c r="T453" i="5" s="1"/>
  <c r="C452" i="5"/>
  <c r="V452" i="5" s="1"/>
  <c r="B452" i="5"/>
  <c r="C451" i="5"/>
  <c r="V451" i="5" s="1"/>
  <c r="B451" i="5"/>
  <c r="S451" i="5" s="1"/>
  <c r="C450" i="5"/>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C364" i="5"/>
  <c r="V364" i="5" s="1"/>
  <c r="I364" i="5" s="1"/>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V336" i="5"/>
  <c r="R336" i="5" s="1"/>
  <c r="V335" i="5"/>
  <c r="V333" i="5"/>
  <c r="V332" i="5"/>
  <c r="R332" i="5" s="1"/>
  <c r="V331" i="5"/>
  <c r="V329" i="5"/>
  <c r="R329" i="5" s="1"/>
  <c r="V327" i="5"/>
  <c r="V326" i="5"/>
  <c r="V325" i="5"/>
  <c r="F325" i="5" s="1"/>
  <c r="AB324" i="5"/>
  <c r="V323" i="5"/>
  <c r="V322" i="5"/>
  <c r="R322" i="5" s="1"/>
  <c r="V321" i="5"/>
  <c r="V319" i="5"/>
  <c r="V318" i="5"/>
  <c r="V317" i="5"/>
  <c r="F317" i="5" s="1"/>
  <c r="V315" i="5"/>
  <c r="V313" i="5"/>
  <c r="R313" i="5" s="1"/>
  <c r="V311" i="5"/>
  <c r="V310" i="5"/>
  <c r="V309" i="5"/>
  <c r="V307" i="5"/>
  <c r="V304" i="5"/>
  <c r="V302" i="5"/>
  <c r="F302" i="5" s="1"/>
  <c r="V301" i="5"/>
  <c r="V299" i="5"/>
  <c r="V298" i="5"/>
  <c r="V295" i="5"/>
  <c r="V294" i="5"/>
  <c r="V291" i="5"/>
  <c r="F291" i="5" s="1"/>
  <c r="V289" i="5"/>
  <c r="V286" i="5"/>
  <c r="V285" i="5"/>
  <c r="V283" i="5"/>
  <c r="R283" i="5" s="1"/>
  <c r="V282" i="5"/>
  <c r="V278" i="5"/>
  <c r="V275" i="5"/>
  <c r="V274" i="5"/>
  <c r="V273" i="5"/>
  <c r="V271" i="5"/>
  <c r="X271" i="5" s="1"/>
  <c r="V270" i="5"/>
  <c r="V269" i="5"/>
  <c r="X269" i="5" s="1"/>
  <c r="V267" i="5"/>
  <c r="V266" i="5"/>
  <c r="V263" i="5"/>
  <c r="R263" i="5" s="1"/>
  <c r="V259" i="5"/>
  <c r="V258" i="5"/>
  <c r="V257" i="5"/>
  <c r="X257" i="5" s="1"/>
  <c r="V255" i="5"/>
  <c r="R255" i="5" s="1"/>
  <c r="V254" i="5"/>
  <c r="V253" i="5"/>
  <c r="R253" i="5" s="1"/>
  <c r="V250" i="5"/>
  <c r="V249" i="5"/>
  <c r="V247" i="5"/>
  <c r="V246" i="5"/>
  <c r="V245" i="5"/>
  <c r="V242" i="5"/>
  <c r="V241" i="5"/>
  <c r="V238" i="5"/>
  <c r="V237" i="5"/>
  <c r="V235" i="5"/>
  <c r="V234" i="5"/>
  <c r="V233" i="5"/>
  <c r="R233" i="5" s="1"/>
  <c r="V231" i="5"/>
  <c r="V230" i="5"/>
  <c r="V229" i="5"/>
  <c r="V227" i="5"/>
  <c r="V226" i="5"/>
  <c r="V225" i="5"/>
  <c r="V223" i="5"/>
  <c r="V222" i="5"/>
  <c r="V221" i="5"/>
  <c r="F221" i="5" s="1"/>
  <c r="V219" i="5"/>
  <c r="R219" i="5" s="1"/>
  <c r="V218" i="5"/>
  <c r="V217" i="5"/>
  <c r="V214" i="5"/>
  <c r="V213" i="5"/>
  <c r="X213" i="5" s="1"/>
  <c r="V210" i="5"/>
  <c r="X210" i="5" s="1"/>
  <c r="V209" i="5"/>
  <c r="V206" i="5"/>
  <c r="V205" i="5"/>
  <c r="R205" i="5" s="1"/>
  <c r="V203" i="5"/>
  <c r="V202" i="5"/>
  <c r="V199" i="5"/>
  <c r="V198" i="5"/>
  <c r="V197" i="5"/>
  <c r="V195" i="5"/>
  <c r="V193" i="5"/>
  <c r="V190" i="5"/>
  <c r="X190" i="5" s="1"/>
  <c r="V187" i="5"/>
  <c r="V186" i="5"/>
  <c r="V185" i="5"/>
  <c r="R185" i="5" s="1"/>
  <c r="V183" i="5"/>
  <c r="V182" i="5"/>
  <c r="V181" i="5"/>
  <c r="V179" i="5"/>
  <c r="V178" i="5"/>
  <c r="V177" i="5"/>
  <c r="V174" i="5"/>
  <c r="V173" i="5"/>
  <c r="V171" i="5"/>
  <c r="V170" i="5"/>
  <c r="V169" i="5"/>
  <c r="V167" i="5"/>
  <c r="V166" i="5"/>
  <c r="V165" i="5"/>
  <c r="V162" i="5"/>
  <c r="V161" i="5"/>
  <c r="G161" i="5" s="1"/>
  <c r="V159" i="5"/>
  <c r="V158" i="5"/>
  <c r="V157" i="5"/>
  <c r="R157" i="5" s="1"/>
  <c r="V155" i="5"/>
  <c r="V154" i="5"/>
  <c r="V153" i="5"/>
  <c r="R153" i="5" s="1"/>
  <c r="V150" i="5"/>
  <c r="X150" i="5" s="1"/>
  <c r="V149" i="5"/>
  <c r="V147" i="5"/>
  <c r="G147" i="5" s="1"/>
  <c r="V146" i="5"/>
  <c r="V145" i="5"/>
  <c r="F145" i="5" s="1"/>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G101" i="5" s="1"/>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R528" i="5" l="1"/>
  <c r="AB674" i="5"/>
  <c r="G681" i="5"/>
  <c r="S778" i="5"/>
  <c r="AB858" i="5"/>
  <c r="T1407" i="5"/>
  <c r="AB1437" i="5"/>
  <c r="T1624" i="5"/>
  <c r="T2317" i="5"/>
  <c r="AB2465" i="5"/>
  <c r="AB481" i="5"/>
  <c r="S858" i="5"/>
  <c r="AB902" i="5"/>
  <c r="T2133" i="5"/>
  <c r="S414" i="5"/>
  <c r="AB488" i="5"/>
  <c r="AB1022" i="5"/>
  <c r="AB1293" i="5"/>
  <c r="S1465" i="5"/>
  <c r="T1684" i="5"/>
  <c r="AB2073" i="5"/>
  <c r="AB410" i="5"/>
  <c r="R480" i="5"/>
  <c r="T1078" i="5"/>
  <c r="T1435" i="5"/>
  <c r="S2068" i="5"/>
  <c r="AB2402" i="5"/>
  <c r="S2428" i="5"/>
  <c r="AB299" i="5"/>
  <c r="AB643" i="5"/>
  <c r="T1244" i="5"/>
  <c r="S1398" i="5"/>
  <c r="AB1401" i="5"/>
  <c r="AB1566" i="5"/>
  <c r="AB1672" i="5"/>
  <c r="T2060" i="5"/>
  <c r="AB2069" i="5"/>
  <c r="T2248" i="5"/>
  <c r="T2163" i="5"/>
  <c r="AB1071" i="5"/>
  <c r="AB1115" i="5"/>
  <c r="AB1353" i="5"/>
  <c r="E1479" i="5"/>
  <c r="X1479" i="5" s="1"/>
  <c r="AB1594" i="5"/>
  <c r="T391" i="5"/>
  <c r="AB450" i="5"/>
  <c r="AB720" i="5"/>
  <c r="S853" i="5"/>
  <c r="S903" i="5"/>
  <c r="S1477" i="5"/>
  <c r="S1491" i="5"/>
  <c r="T1883" i="5"/>
  <c r="S2015" i="5"/>
  <c r="S2038" i="5"/>
  <c r="S515" i="5"/>
  <c r="G550" i="5"/>
  <c r="T585" i="5"/>
  <c r="T788" i="5"/>
  <c r="S918" i="5"/>
  <c r="T1098" i="5"/>
  <c r="AB1624" i="5"/>
  <c r="S1770" i="5"/>
  <c r="T1781" i="5"/>
  <c r="T2188" i="5"/>
  <c r="AB2413" i="5"/>
  <c r="R86"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T451" i="5"/>
  <c r="T458" i="5"/>
  <c r="S485" i="5"/>
  <c r="AB493" i="5"/>
  <c r="AB587" i="5"/>
  <c r="S659" i="5"/>
  <c r="G1230" i="5"/>
  <c r="AB1277" i="5"/>
  <c r="T1352" i="5"/>
  <c r="T1414" i="5"/>
  <c r="S1455" i="5"/>
  <c r="S1762" i="5"/>
  <c r="T1791" i="5"/>
  <c r="AB1806" i="5"/>
  <c r="S1821" i="5"/>
  <c r="S2047" i="5"/>
  <c r="T2131"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F235" i="5"/>
  <c r="E1753" i="5"/>
  <c r="X1753" i="5" s="1"/>
  <c r="H1753" i="5"/>
  <c r="X75" i="5"/>
  <c r="I764" i="5"/>
  <c r="I2158" i="5"/>
  <c r="R70" i="5"/>
  <c r="G80" i="5"/>
  <c r="G242" i="5"/>
  <c r="G291" i="5"/>
  <c r="AB364" i="5"/>
  <c r="R488" i="5"/>
  <c r="G761" i="5"/>
  <c r="H1178" i="5"/>
  <c r="J1218" i="5"/>
  <c r="J1250" i="5"/>
  <c r="AB1312" i="5"/>
  <c r="F2013" i="5"/>
  <c r="V2061" i="5"/>
  <c r="E2061" i="5" s="1"/>
  <c r="X2061" i="5" s="1"/>
  <c r="AB2065" i="5"/>
  <c r="AB2152" i="5"/>
  <c r="H2474" i="5"/>
  <c r="G42" i="5"/>
  <c r="X171" i="5"/>
  <c r="AB196" i="5"/>
  <c r="G218"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G187"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I802" i="5"/>
  <c r="F802" i="5"/>
  <c r="I940" i="5"/>
  <c r="H940" i="5"/>
  <c r="F95"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G75" i="5"/>
  <c r="AB126" i="5"/>
  <c r="G238" i="5"/>
  <c r="G29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G70" i="5"/>
  <c r="R75"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170" i="5"/>
  <c r="G198" i="5"/>
  <c r="AB218" i="5"/>
  <c r="AB23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G32" i="5"/>
  <c r="X59" i="5"/>
  <c r="X235" i="5"/>
  <c r="V265" i="5"/>
  <c r="R265" i="5" s="1"/>
  <c r="X291" i="5"/>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F25" i="5"/>
  <c r="G25" i="5"/>
  <c r="X25" i="5"/>
  <c r="R97" i="5"/>
  <c r="X97" i="5"/>
  <c r="F79" i="5"/>
  <c r="X79" i="5"/>
  <c r="G79" i="5"/>
  <c r="X47" i="5"/>
  <c r="G47" i="5"/>
  <c r="F47" i="5"/>
  <c r="R127" i="5"/>
  <c r="X127" i="5"/>
  <c r="V330" i="5"/>
  <c r="G330" i="5" s="1"/>
  <c r="T895" i="5"/>
  <c r="AB895" i="5"/>
  <c r="S895" i="5"/>
  <c r="AB1863" i="5"/>
  <c r="T1863" i="5"/>
  <c r="S1863" i="5"/>
  <c r="R54" i="5"/>
  <c r="G59" i="5"/>
  <c r="G64" i="5"/>
  <c r="R74" i="5"/>
  <c r="V91" i="5"/>
  <c r="G91" i="5" s="1"/>
  <c r="V189" i="5"/>
  <c r="R189" i="5" s="1"/>
  <c r="AB210" i="5"/>
  <c r="R225" i="5"/>
  <c r="F225" i="5"/>
  <c r="X225" i="5"/>
  <c r="V243" i="5"/>
  <c r="G243" i="5" s="1"/>
  <c r="F309" i="5"/>
  <c r="F357" i="5"/>
  <c r="E357" i="5"/>
  <c r="X357" i="5" s="1"/>
  <c r="G399" i="5"/>
  <c r="V463" i="5"/>
  <c r="R463" i="5" s="1"/>
  <c r="G586" i="5"/>
  <c r="F586" i="5"/>
  <c r="I714" i="5"/>
  <c r="J714" i="5"/>
  <c r="T738" i="5"/>
  <c r="S738" i="5"/>
  <c r="R94" i="5"/>
  <c r="AB170" i="5"/>
  <c r="E452" i="5"/>
  <c r="X452" i="5" s="1"/>
  <c r="H452" i="5"/>
  <c r="F452" i="5"/>
  <c r="S1497" i="5"/>
  <c r="T1497" i="5"/>
  <c r="X26" i="5"/>
  <c r="X63" i="5"/>
  <c r="G94" i="5"/>
  <c r="V102" i="5"/>
  <c r="G102" i="5" s="1"/>
  <c r="F147" i="5"/>
  <c r="V207" i="5"/>
  <c r="G207" i="5" s="1"/>
  <c r="R237" i="5"/>
  <c r="F237" i="5"/>
  <c r="X237" i="5"/>
  <c r="V262" i="5"/>
  <c r="AB262" i="5"/>
  <c r="AB298" i="5"/>
  <c r="T354" i="5"/>
  <c r="S354" i="5"/>
  <c r="E451" i="5"/>
  <c r="X451" i="5" s="1"/>
  <c r="F451" i="5"/>
  <c r="R453" i="5"/>
  <c r="J453" i="5"/>
  <c r="H453" i="5"/>
  <c r="F453" i="5"/>
  <c r="S581" i="5"/>
  <c r="T581" i="5"/>
  <c r="X107" i="5"/>
  <c r="R125" i="5"/>
  <c r="G125" i="5"/>
  <c r="T1447" i="5"/>
  <c r="AB1447" i="5"/>
  <c r="S1447" i="5"/>
  <c r="V43" i="5"/>
  <c r="F43" i="5" s="1"/>
  <c r="R22" i="5"/>
  <c r="G38" i="5"/>
  <c r="G55" i="5"/>
  <c r="G58" i="5"/>
  <c r="F63" i="5"/>
  <c r="G78" i="5"/>
  <c r="V87" i="5"/>
  <c r="R90" i="5"/>
  <c r="AB114" i="5"/>
  <c r="R123" i="5"/>
  <c r="G126" i="5"/>
  <c r="R167" i="5"/>
  <c r="X187" i="5"/>
  <c r="R187" i="5"/>
  <c r="V306" i="5"/>
  <c r="G306" i="5" s="1"/>
  <c r="I361" i="5"/>
  <c r="J361" i="5"/>
  <c r="H361" i="5"/>
  <c r="F361" i="5"/>
  <c r="V391" i="5"/>
  <c r="G391" i="5" s="1"/>
  <c r="G451" i="5"/>
  <c r="I479" i="5"/>
  <c r="H479" i="5"/>
  <c r="E479" i="5"/>
  <c r="X479" i="5" s="1"/>
  <c r="T519" i="5"/>
  <c r="S519" i="5"/>
  <c r="V574" i="5"/>
  <c r="F574" i="5" s="1"/>
  <c r="T641" i="5"/>
  <c r="S641" i="5"/>
  <c r="R59" i="5"/>
  <c r="G63" i="5"/>
  <c r="R111" i="5"/>
  <c r="R171" i="5"/>
  <c r="V194" i="5"/>
  <c r="V314" i="5"/>
  <c r="G314" i="5" s="1"/>
  <c r="T351" i="5"/>
  <c r="S351" i="5"/>
  <c r="T454" i="5"/>
  <c r="S454" i="5"/>
  <c r="E468" i="5"/>
  <c r="X468" i="5" s="1"/>
  <c r="F468" i="5"/>
  <c r="T483" i="5"/>
  <c r="S483" i="5"/>
  <c r="V562" i="5"/>
  <c r="R562" i="5" s="1"/>
  <c r="I1848" i="5"/>
  <c r="H1848" i="5"/>
  <c r="G107" i="5"/>
  <c r="V115" i="5"/>
  <c r="R115" i="5" s="1"/>
  <c r="AB166" i="5"/>
  <c r="V201" i="5"/>
  <c r="R201" i="5" s="1"/>
  <c r="R245" i="5"/>
  <c r="G245" i="5"/>
  <c r="I461" i="5"/>
  <c r="F461" i="5"/>
  <c r="J552" i="5"/>
  <c r="H552" i="5"/>
  <c r="G48" i="5"/>
  <c r="G74" i="5"/>
  <c r="G86" i="5"/>
  <c r="AB178" i="5"/>
  <c r="V215" i="5"/>
  <c r="G215" i="5" s="1"/>
  <c r="R299" i="5"/>
  <c r="T379" i="5"/>
  <c r="S379" i="5"/>
  <c r="E392" i="5"/>
  <c r="X392" i="5" s="1"/>
  <c r="I392" i="5"/>
  <c r="H392" i="5"/>
  <c r="AB110" i="5"/>
  <c r="R30" i="5"/>
  <c r="G54" i="5"/>
  <c r="G62" i="5"/>
  <c r="V71" i="5"/>
  <c r="V103" i="5"/>
  <c r="R107" i="5"/>
  <c r="AB150" i="5"/>
  <c r="AB186" i="5"/>
  <c r="V239" i="5"/>
  <c r="G239" i="5" s="1"/>
  <c r="F372" i="5"/>
  <c r="I372" i="5"/>
  <c r="H372" i="5"/>
  <c r="F392" i="5"/>
  <c r="R401" i="5"/>
  <c r="J401" i="5"/>
  <c r="F455" i="5"/>
  <c r="G455" i="5"/>
  <c r="I507" i="5"/>
  <c r="F507" i="5"/>
  <c r="T601" i="5"/>
  <c r="S601" i="5"/>
  <c r="AB230" i="5"/>
  <c r="AB251" i="5"/>
  <c r="AB267"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AB190" i="5"/>
  <c r="V191" i="5"/>
  <c r="F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V175" i="5"/>
  <c r="F175" i="5" s="1"/>
  <c r="G257" i="5"/>
  <c r="G263" i="5"/>
  <c r="F265"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s="1"/>
  <c r="AB1014" i="5"/>
  <c r="T1014" i="5"/>
  <c r="S1014" i="5"/>
  <c r="H1075" i="5"/>
  <c r="F1075" i="5"/>
  <c r="G1075" i="5"/>
  <c r="G1083" i="5"/>
  <c r="F1083" i="5"/>
  <c r="H1083" i="5"/>
  <c r="G111" i="5"/>
  <c r="G122" i="5"/>
  <c r="AB207" i="5"/>
  <c r="AB215" i="5"/>
  <c r="AB282" i="5"/>
  <c r="G299" i="5"/>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G179" i="5"/>
  <c r="G190" i="5"/>
  <c r="AB219" i="5"/>
  <c r="G230" i="5"/>
  <c r="AB239" i="5"/>
  <c r="AB278"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I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F109" i="5"/>
  <c r="R109" i="5"/>
  <c r="G133" i="5"/>
  <c r="R133" i="5"/>
  <c r="F133" i="5"/>
  <c r="R169" i="5"/>
  <c r="X169" i="5"/>
  <c r="F195" i="5"/>
  <c r="X195" i="5"/>
  <c r="R195" i="5"/>
  <c r="G195" i="5"/>
  <c r="R67" i="5"/>
  <c r="X67" i="5"/>
  <c r="F67" i="5"/>
  <c r="R19" i="5"/>
  <c r="G19" i="5"/>
  <c r="X19" i="5"/>
  <c r="X35" i="5"/>
  <c r="R35" i="5"/>
  <c r="F35" i="5"/>
  <c r="R139" i="5"/>
  <c r="X139" i="5"/>
  <c r="F139" i="5"/>
  <c r="X193" i="5"/>
  <c r="F193" i="5"/>
  <c r="X227" i="5"/>
  <c r="R227" i="5"/>
  <c r="F227" i="5"/>
  <c r="R41" i="5"/>
  <c r="X41" i="5"/>
  <c r="R143" i="5"/>
  <c r="F143" i="5"/>
  <c r="G143" i="5"/>
  <c r="X143" i="5"/>
  <c r="F177" i="5"/>
  <c r="X177" i="5"/>
  <c r="R177" i="5"/>
  <c r="F183" i="5"/>
  <c r="X183" i="5"/>
  <c r="R183" i="5"/>
  <c r="G183" i="5"/>
  <c r="R241" i="5"/>
  <c r="F241" i="5"/>
  <c r="X247" i="5"/>
  <c r="F247" i="5"/>
  <c r="R247" i="5"/>
  <c r="X259" i="5"/>
  <c r="R259" i="5"/>
  <c r="G259" i="5"/>
  <c r="F259" i="5"/>
  <c r="R173" i="5"/>
  <c r="R93" i="5"/>
  <c r="X93" i="5"/>
  <c r="R99" i="5"/>
  <c r="X99" i="5"/>
  <c r="F99" i="5"/>
  <c r="F135" i="5"/>
  <c r="R135" i="5"/>
  <c r="G135" i="5"/>
  <c r="X135" i="5"/>
  <c r="X159" i="5"/>
  <c r="R159" i="5"/>
  <c r="F159" i="5"/>
  <c r="I373" i="5"/>
  <c r="R373" i="5"/>
  <c r="J373" i="5"/>
  <c r="H373" i="5"/>
  <c r="F373" i="5"/>
  <c r="E373" i="5"/>
  <c r="X373" i="5" s="1"/>
  <c r="G27" i="5"/>
  <c r="X27" i="5"/>
  <c r="R27" i="5"/>
  <c r="R83" i="5"/>
  <c r="F83" i="5"/>
  <c r="X83" i="5"/>
  <c r="R51" i="5"/>
  <c r="X51" i="5"/>
  <c r="F51" i="5"/>
  <c r="R77" i="5"/>
  <c r="X77" i="5"/>
  <c r="R89" i="5"/>
  <c r="X89" i="5"/>
  <c r="X129" i="5"/>
  <c r="F129" i="5"/>
  <c r="R199" i="5"/>
  <c r="F199" i="5"/>
  <c r="G199" i="5"/>
  <c r="X199" i="5"/>
  <c r="F131" i="5"/>
  <c r="X131" i="5"/>
  <c r="R131" i="5"/>
  <c r="G131" i="5"/>
  <c r="R57" i="5"/>
  <c r="X57" i="5"/>
  <c r="F105" i="5"/>
  <c r="R105" i="5"/>
  <c r="G105" i="5"/>
  <c r="X105" i="5"/>
  <c r="F119" i="5"/>
  <c r="X119" i="5"/>
  <c r="R119" i="5"/>
  <c r="G119" i="5"/>
  <c r="G197" i="5"/>
  <c r="R197" i="5"/>
  <c r="F197" i="5"/>
  <c r="R223" i="5"/>
  <c r="F223" i="5"/>
  <c r="X223" i="5"/>
  <c r="R229" i="5"/>
  <c r="F229" i="5"/>
  <c r="X229" i="5"/>
  <c r="R337" i="5"/>
  <c r="J337" i="5"/>
  <c r="H337" i="5"/>
  <c r="F337" i="5"/>
  <c r="E337" i="5"/>
  <c r="X337" i="5" s="1"/>
  <c r="X31" i="5"/>
  <c r="F31" i="5"/>
  <c r="F113" i="5"/>
  <c r="X113" i="5"/>
  <c r="R113" i="5"/>
  <c r="R155" i="5"/>
  <c r="X155" i="5"/>
  <c r="F155" i="5"/>
  <c r="R203" i="5"/>
  <c r="X203" i="5"/>
  <c r="F203" i="5"/>
  <c r="R249" i="5"/>
  <c r="F249" i="5"/>
  <c r="R39" i="5"/>
  <c r="R55" i="5"/>
  <c r="AB140" i="5"/>
  <c r="V151" i="5"/>
  <c r="AB156" i="5"/>
  <c r="AB160" i="5"/>
  <c r="V163" i="5"/>
  <c r="R179" i="5"/>
  <c r="AB204" i="5"/>
  <c r="AB211" i="5"/>
  <c r="V211" i="5"/>
  <c r="G211" i="5" s="1"/>
  <c r="R231" i="5"/>
  <c r="R267" i="5"/>
  <c r="F267" i="5"/>
  <c r="R289" i="5"/>
  <c r="X289" i="5"/>
  <c r="F295" i="5"/>
  <c r="X295" i="5"/>
  <c r="R295" i="5"/>
  <c r="G321" i="5"/>
  <c r="F321" i="5"/>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G68" i="5"/>
  <c r="G84" i="5"/>
  <c r="G113" i="5"/>
  <c r="G158" i="5"/>
  <c r="G177" i="5"/>
  <c r="G206" i="5"/>
  <c r="AB222" i="5"/>
  <c r="G227" i="5"/>
  <c r="G247" i="5"/>
  <c r="AB254" i="5"/>
  <c r="AB258" i="5"/>
  <c r="AB270" i="5"/>
  <c r="V277" i="5"/>
  <c r="V290" i="5"/>
  <c r="G329" i="5"/>
  <c r="F329" i="5"/>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G36" i="5"/>
  <c r="R42" i="5"/>
  <c r="G35" i="5"/>
  <c r="X45" i="5"/>
  <c r="G50" i="5"/>
  <c r="G51" i="5"/>
  <c r="X55" i="5"/>
  <c r="G66" i="5"/>
  <c r="G67" i="5"/>
  <c r="G82" i="5"/>
  <c r="G83" i="5"/>
  <c r="G98" i="5"/>
  <c r="G99" i="5"/>
  <c r="X115" i="5"/>
  <c r="AB118" i="5"/>
  <c r="G121" i="5"/>
  <c r="G129" i="5"/>
  <c r="AB130" i="5"/>
  <c r="G139" i="5"/>
  <c r="G155" i="5"/>
  <c r="G159" i="5"/>
  <c r="X179" i="5"/>
  <c r="AB182" i="5"/>
  <c r="G185" i="5"/>
  <c r="G193" i="5"/>
  <c r="AB194" i="5"/>
  <c r="G203" i="5"/>
  <c r="G231" i="5"/>
  <c r="R235" i="5"/>
  <c r="G249" i="5"/>
  <c r="G253" i="5"/>
  <c r="X263" i="5"/>
  <c r="V293" i="5"/>
  <c r="G293" i="5" s="1"/>
  <c r="F299" i="5"/>
  <c r="X299" i="5"/>
  <c r="AB315" i="5"/>
  <c r="G325" i="5"/>
  <c r="R325" i="5"/>
  <c r="AB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G52" i="5"/>
  <c r="R58" i="5"/>
  <c r="X23" i="5"/>
  <c r="G24" i="5"/>
  <c r="AB26" i="5"/>
  <c r="G31" i="5"/>
  <c r="G34" i="5"/>
  <c r="X39" i="5"/>
  <c r="AB22" i="5"/>
  <c r="F23" i="5"/>
  <c r="R25" i="5"/>
  <c r="G30" i="5"/>
  <c r="F39" i="5"/>
  <c r="G40" i="5"/>
  <c r="R47" i="5"/>
  <c r="F55" i="5"/>
  <c r="G56" i="5"/>
  <c r="R63" i="5"/>
  <c r="G72" i="5"/>
  <c r="R79" i="5"/>
  <c r="G88" i="5"/>
  <c r="R95" i="5"/>
  <c r="X103" i="5"/>
  <c r="AB108" i="5"/>
  <c r="X111" i="5"/>
  <c r="AB124" i="5"/>
  <c r="AB128" i="5"/>
  <c r="X137" i="5"/>
  <c r="AB146" i="5"/>
  <c r="R147" i="5"/>
  <c r="G154" i="5"/>
  <c r="G157" i="5"/>
  <c r="G162" i="5"/>
  <c r="X166" i="5"/>
  <c r="X167" i="5"/>
  <c r="AB172" i="5"/>
  <c r="X175" i="5"/>
  <c r="F179" i="5"/>
  <c r="AB188" i="5"/>
  <c r="AB192" i="5"/>
  <c r="AB206" i="5"/>
  <c r="AB214" i="5"/>
  <c r="AB226" i="5"/>
  <c r="X231" i="5"/>
  <c r="G258" i="5"/>
  <c r="V261" i="5"/>
  <c r="F263" i="5"/>
  <c r="R273" i="5"/>
  <c r="X273" i="5"/>
  <c r="R285" i="5"/>
  <c r="R291" i="5"/>
  <c r="AB294" i="5"/>
  <c r="V305" i="5"/>
  <c r="G30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AB266" i="5"/>
  <c r="V287" i="5"/>
  <c r="F103" i="5"/>
  <c r="F111" i="5"/>
  <c r="AB134" i="5"/>
  <c r="F137" i="5"/>
  <c r="F141" i="5"/>
  <c r="AB142" i="5"/>
  <c r="X145" i="5"/>
  <c r="X161" i="5"/>
  <c r="AB198" i="5"/>
  <c r="F205" i="5"/>
  <c r="F213" i="5"/>
  <c r="F219" i="5"/>
  <c r="F231" i="5"/>
  <c r="F253" i="5"/>
  <c r="X255" i="5"/>
  <c r="X267" i="5"/>
  <c r="X283" i="5"/>
  <c r="AB306" i="5"/>
  <c r="AB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T367" i="5"/>
  <c r="S367" i="5"/>
  <c r="G23" i="5"/>
  <c r="X33" i="5"/>
  <c r="G39" i="5"/>
  <c r="X49" i="5"/>
  <c r="X65" i="5"/>
  <c r="X81" i="5"/>
  <c r="G22" i="5"/>
  <c r="G44" i="5"/>
  <c r="F59" i="5"/>
  <c r="G60" i="5"/>
  <c r="F75" i="5"/>
  <c r="G76" i="5"/>
  <c r="F91" i="5"/>
  <c r="G92" i="5"/>
  <c r="F101" i="5"/>
  <c r="F107" i="5"/>
  <c r="X110" i="5"/>
  <c r="F123" i="5"/>
  <c r="F127" i="5"/>
  <c r="AB138" i="5"/>
  <c r="G145" i="5"/>
  <c r="AB154" i="5"/>
  <c r="AB158" i="5"/>
  <c r="F161" i="5"/>
  <c r="F187" i="5"/>
  <c r="AB202" i="5"/>
  <c r="G219" i="5"/>
  <c r="AB223" i="5"/>
  <c r="G235" i="5"/>
  <c r="AB238" i="5"/>
  <c r="X245" i="5"/>
  <c r="AB246" i="5"/>
  <c r="F255" i="5"/>
  <c r="R257" i="5"/>
  <c r="F257" i="5"/>
  <c r="AB259" i="5"/>
  <c r="G267" i="5"/>
  <c r="AB274" i="5"/>
  <c r="X275" i="5"/>
  <c r="R275" i="5"/>
  <c r="G313" i="5"/>
  <c r="F313" i="5"/>
  <c r="R333" i="5"/>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X37" i="5"/>
  <c r="X53" i="5"/>
  <c r="X69" i="5"/>
  <c r="X85" i="5"/>
  <c r="G90" i="5"/>
  <c r="X95" i="5"/>
  <c r="R101" i="5"/>
  <c r="R145" i="5"/>
  <c r="X147" i="5"/>
  <c r="G153" i="5"/>
  <c r="AB162" i="5"/>
  <c r="R165" i="5"/>
  <c r="G223" i="5"/>
  <c r="AB227" i="5"/>
  <c r="F233" i="5"/>
  <c r="F245" i="5"/>
  <c r="AB247" i="5"/>
  <c r="V251" i="5"/>
  <c r="G255" i="5"/>
  <c r="R269" i="5"/>
  <c r="V297" i="5"/>
  <c r="G297" i="5" s="1"/>
  <c r="G309" i="5"/>
  <c r="R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X302" i="5"/>
  <c r="V303" i="5"/>
  <c r="G303" i="5" s="1"/>
  <c r="AB304"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AB309" i="5"/>
  <c r="AB317" i="5"/>
  <c r="AB325"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G6" i="5"/>
  <c r="F19" i="6"/>
  <c r="X341" i="5"/>
  <c r="X304" i="5"/>
  <c r="AB23" i="5"/>
  <c r="X28" i="5"/>
  <c r="V112" i="5"/>
  <c r="G112" i="5" s="1"/>
  <c r="AB115" i="5"/>
  <c r="F146" i="5"/>
  <c r="R146" i="5"/>
  <c r="V176" i="5"/>
  <c r="G176" i="5" s="1"/>
  <c r="AB179" i="5"/>
  <c r="AB201" i="5"/>
  <c r="F234" i="5"/>
  <c r="R234" i="5"/>
  <c r="F254" i="5"/>
  <c r="X254" i="5"/>
  <c r="R254" i="5"/>
  <c r="X286" i="5"/>
  <c r="R286" i="5"/>
  <c r="AB320" i="5"/>
  <c r="V320" i="5"/>
  <c r="G320" i="5" s="1"/>
  <c r="AB412" i="5"/>
  <c r="T412" i="5"/>
  <c r="S412" i="5"/>
  <c r="AB105" i="5"/>
  <c r="F114" i="5"/>
  <c r="R114" i="5"/>
  <c r="AB137" i="5"/>
  <c r="V144" i="5"/>
  <c r="AB147" i="5"/>
  <c r="AB169" i="5"/>
  <c r="F178" i="5"/>
  <c r="R178" i="5"/>
  <c r="G209" i="5"/>
  <c r="AB240" i="5"/>
  <c r="X270" i="5"/>
  <c r="R270" i="5"/>
  <c r="R311" i="5"/>
  <c r="F311" i="5"/>
  <c r="R5" i="5"/>
  <c r="X20" i="5"/>
  <c r="AB20" i="5"/>
  <c r="R21" i="5"/>
  <c r="AB28" i="5"/>
  <c r="R29" i="5"/>
  <c r="F33" i="5"/>
  <c r="F34" i="5"/>
  <c r="AB34" i="5"/>
  <c r="F37" i="5"/>
  <c r="F38" i="5"/>
  <c r="AB38" i="5"/>
  <c r="F41" i="5"/>
  <c r="F42" i="5"/>
  <c r="AB42" i="5"/>
  <c r="F45" i="5"/>
  <c r="F46" i="5"/>
  <c r="AB46" i="5"/>
  <c r="F49" i="5"/>
  <c r="F50" i="5"/>
  <c r="AB50" i="5"/>
  <c r="F53" i="5"/>
  <c r="F54" i="5"/>
  <c r="AB54" i="5"/>
  <c r="F57" i="5"/>
  <c r="F58" i="5"/>
  <c r="AB58" i="5"/>
  <c r="F61" i="5"/>
  <c r="F62" i="5"/>
  <c r="AB62" i="5"/>
  <c r="F65" i="5"/>
  <c r="F66" i="5"/>
  <c r="AB66" i="5"/>
  <c r="F69" i="5"/>
  <c r="F70" i="5"/>
  <c r="AB70" i="5"/>
  <c r="F73" i="5"/>
  <c r="F74" i="5"/>
  <c r="AB74" i="5"/>
  <c r="F77" i="5"/>
  <c r="F78" i="5"/>
  <c r="AB78" i="5"/>
  <c r="F81" i="5"/>
  <c r="F82" i="5"/>
  <c r="AB82" i="5"/>
  <c r="F85" i="5"/>
  <c r="F86" i="5"/>
  <c r="AB86" i="5"/>
  <c r="F89" i="5"/>
  <c r="F90" i="5"/>
  <c r="AB90" i="5"/>
  <c r="F93" i="5"/>
  <c r="F94" i="5"/>
  <c r="AB94" i="5"/>
  <c r="F97" i="5"/>
  <c r="F98" i="5"/>
  <c r="AB98" i="5"/>
  <c r="AB104" i="5"/>
  <c r="AB117" i="5"/>
  <c r="V124" i="5"/>
  <c r="G124" i="5" s="1"/>
  <c r="X125" i="5"/>
  <c r="F126" i="5"/>
  <c r="R126" i="5"/>
  <c r="AB127" i="5"/>
  <c r="AB136" i="5"/>
  <c r="AB149" i="5"/>
  <c r="V156" i="5"/>
  <c r="G156" i="5" s="1"/>
  <c r="X157" i="5"/>
  <c r="F158" i="5"/>
  <c r="R158" i="5"/>
  <c r="AB159" i="5"/>
  <c r="AB168" i="5"/>
  <c r="X178" i="5"/>
  <c r="AB181" i="5"/>
  <c r="V188" i="5"/>
  <c r="G188" i="5" s="1"/>
  <c r="X189" i="5"/>
  <c r="F190" i="5"/>
  <c r="R190" i="5"/>
  <c r="AB191" i="5"/>
  <c r="AB200" i="5"/>
  <c r="F218" i="5"/>
  <c r="R218" i="5"/>
  <c r="AB220" i="5"/>
  <c r="G234" i="5"/>
  <c r="F238" i="5"/>
  <c r="X238" i="5"/>
  <c r="R238" i="5"/>
  <c r="AB244" i="5"/>
  <c r="G254" i="5"/>
  <c r="AB260" i="5"/>
  <c r="AB276" i="5"/>
  <c r="AB292" i="5"/>
  <c r="G311" i="5"/>
  <c r="AB5" i="5"/>
  <c r="F18" i="5"/>
  <c r="G20" i="5"/>
  <c r="AB21" i="5"/>
  <c r="F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AB107" i="5"/>
  <c r="G114" i="5"/>
  <c r="AB116" i="5"/>
  <c r="F125" i="5"/>
  <c r="AB129" i="5"/>
  <c r="V136" i="5"/>
  <c r="G136" i="5" s="1"/>
  <c r="F138" i="5"/>
  <c r="R138" i="5"/>
  <c r="AB139" i="5"/>
  <c r="G146" i="5"/>
  <c r="AB148" i="5"/>
  <c r="F157" i="5"/>
  <c r="AB161" i="5"/>
  <c r="V168" i="5"/>
  <c r="R170" i="5"/>
  <c r="T170" i="5"/>
  <c r="AB171" i="5"/>
  <c r="T173" i="5"/>
  <c r="G178" i="5"/>
  <c r="AB180" i="5"/>
  <c r="AB193" i="5"/>
  <c r="V200" i="5"/>
  <c r="G200" i="5" s="1"/>
  <c r="F202" i="5"/>
  <c r="R202" i="5"/>
  <c r="AB203" i="5"/>
  <c r="AB209" i="5"/>
  <c r="F210" i="5"/>
  <c r="R210" i="5"/>
  <c r="V220" i="5"/>
  <c r="G220" i="5" s="1"/>
  <c r="R221" i="5"/>
  <c r="G221" i="5"/>
  <c r="F242" i="5"/>
  <c r="R242" i="5"/>
  <c r="F258" i="5"/>
  <c r="X258" i="5"/>
  <c r="R258" i="5"/>
  <c r="X274" i="5"/>
  <c r="R274" i="5"/>
  <c r="T274" i="5"/>
  <c r="X290" i="5"/>
  <c r="R323" i="5"/>
  <c r="F323" i="5"/>
  <c r="T360" i="5"/>
  <c r="S360" i="5"/>
  <c r="AB360" i="5"/>
  <c r="E371" i="5"/>
  <c r="X371" i="5" s="1"/>
  <c r="R371" i="5"/>
  <c r="J371" i="5"/>
  <c r="H371" i="5"/>
  <c r="I371" i="5"/>
  <c r="F371" i="5"/>
  <c r="E383" i="5"/>
  <c r="X383" i="5" s="1"/>
  <c r="R383" i="5"/>
  <c r="J383" i="5"/>
  <c r="H383" i="5"/>
  <c r="I383" i="5"/>
  <c r="G383" i="5"/>
  <c r="F383" i="5"/>
  <c r="V116" i="5"/>
  <c r="G116" i="5" s="1"/>
  <c r="AB119" i="5"/>
  <c r="V148" i="5"/>
  <c r="G148" i="5" s="1"/>
  <c r="X149" i="5"/>
  <c r="AB151" i="5"/>
  <c r="AB173" i="5"/>
  <c r="V180" i="5"/>
  <c r="G180" i="5" s="1"/>
  <c r="X181" i="5"/>
  <c r="F182" i="5"/>
  <c r="R182" i="5"/>
  <c r="AB183" i="5"/>
  <c r="AB205" i="5"/>
  <c r="AB212" i="5"/>
  <c r="AB248" i="5"/>
  <c r="AB264" i="5"/>
  <c r="AB280" i="5"/>
  <c r="AB296" i="5"/>
  <c r="R319" i="5"/>
  <c r="F319" i="5"/>
  <c r="AB328" i="5"/>
  <c r="V328" i="5"/>
  <c r="G328" i="5" s="1"/>
  <c r="E351" i="5"/>
  <c r="X351" i="5" s="1"/>
  <c r="R351" i="5"/>
  <c r="J351" i="5"/>
  <c r="H351" i="5"/>
  <c r="I351" i="5"/>
  <c r="F351" i="5"/>
  <c r="AB358" i="5"/>
  <c r="V358" i="5"/>
  <c r="G358" i="5" s="1"/>
  <c r="F28" i="5"/>
  <c r="F118" i="5"/>
  <c r="R118" i="5"/>
  <c r="X5" i="5"/>
  <c r="G18" i="5"/>
  <c r="F24" i="5"/>
  <c r="G26" i="5"/>
  <c r="F32" i="5"/>
  <c r="G106" i="5"/>
  <c r="F117" i="5"/>
  <c r="AB121" i="5"/>
  <c r="V128" i="5"/>
  <c r="G128" i="5" s="1"/>
  <c r="F130" i="5"/>
  <c r="R130" i="5"/>
  <c r="AB131" i="5"/>
  <c r="G138" i="5"/>
  <c r="F149" i="5"/>
  <c r="AB153" i="5"/>
  <c r="V160" i="5"/>
  <c r="G160" i="5" s="1"/>
  <c r="F162" i="5"/>
  <c r="R162" i="5"/>
  <c r="AB163" i="5"/>
  <c r="T165" i="5"/>
  <c r="F181" i="5"/>
  <c r="AB185" i="5"/>
  <c r="V192" i="5"/>
  <c r="G192" i="5" s="1"/>
  <c r="AB195" i="5"/>
  <c r="G202" i="5"/>
  <c r="F206" i="5"/>
  <c r="R206" i="5"/>
  <c r="X209" i="5"/>
  <c r="G210" i="5"/>
  <c r="V212" i="5"/>
  <c r="R213" i="5"/>
  <c r="G213" i="5"/>
  <c r="F222" i="5"/>
  <c r="X222" i="5"/>
  <c r="R222" i="5"/>
  <c r="AB224" i="5"/>
  <c r="F246" i="5"/>
  <c r="R246" i="5"/>
  <c r="F262" i="5"/>
  <c r="R262" i="5"/>
  <c r="R278" i="5"/>
  <c r="F294" i="5"/>
  <c r="X294" i="5"/>
  <c r="R294" i="5"/>
  <c r="R307" i="5"/>
  <c r="F307" i="5"/>
  <c r="X307" i="5"/>
  <c r="G319" i="5"/>
  <c r="AB408" i="5"/>
  <c r="T408" i="5"/>
  <c r="S408" i="5"/>
  <c r="AB109" i="5"/>
  <c r="X117" i="5"/>
  <c r="AB141" i="5"/>
  <c r="F150" i="5"/>
  <c r="R150" i="5"/>
  <c r="AB19" i="5"/>
  <c r="X21" i="5"/>
  <c r="AB27" i="5"/>
  <c r="X29" i="5"/>
  <c r="F5" i="5"/>
  <c r="F21" i="5"/>
  <c r="X24" i="5"/>
  <c r="R28" i="5"/>
  <c r="F29" i="5"/>
  <c r="X32" i="5"/>
  <c r="AB36" i="5"/>
  <c r="AB40" i="5"/>
  <c r="AB44" i="5"/>
  <c r="AB48" i="5"/>
  <c r="AB52" i="5"/>
  <c r="AB56" i="5"/>
  <c r="AB60" i="5"/>
  <c r="AB64" i="5"/>
  <c r="AB68" i="5"/>
  <c r="AB72" i="5"/>
  <c r="AB76" i="5"/>
  <c r="AB80" i="5"/>
  <c r="AB84" i="5"/>
  <c r="AB88" i="5"/>
  <c r="AB92" i="5"/>
  <c r="AB96" i="5"/>
  <c r="AB100" i="5"/>
  <c r="AB101" i="5"/>
  <c r="V108" i="5"/>
  <c r="G108" i="5" s="1"/>
  <c r="X109" i="5"/>
  <c r="F110" i="5"/>
  <c r="R110" i="5"/>
  <c r="AB111" i="5"/>
  <c r="G117" i="5"/>
  <c r="G118" i="5"/>
  <c r="AB120" i="5"/>
  <c r="AB133" i="5"/>
  <c r="V140" i="5"/>
  <c r="G140" i="5" s="1"/>
  <c r="X141" i="5"/>
  <c r="F142" i="5"/>
  <c r="R142" i="5"/>
  <c r="AB143" i="5"/>
  <c r="G149" i="5"/>
  <c r="G150" i="5"/>
  <c r="AB152" i="5"/>
  <c r="AB165" i="5"/>
  <c r="V172" i="5"/>
  <c r="X173" i="5"/>
  <c r="F174" i="5"/>
  <c r="R174" i="5"/>
  <c r="AB175" i="5"/>
  <c r="G181" i="5"/>
  <c r="G182" i="5"/>
  <c r="AB184" i="5"/>
  <c r="AB197" i="5"/>
  <c r="V204" i="5"/>
  <c r="G204" i="5" s="1"/>
  <c r="X205" i="5"/>
  <c r="AB208" i="5"/>
  <c r="F209" i="5"/>
  <c r="G222" i="5"/>
  <c r="AB228" i="5"/>
  <c r="G246" i="5"/>
  <c r="AB252" i="5"/>
  <c r="G262" i="5"/>
  <c r="AB268" i="5"/>
  <c r="AB284" i="5"/>
  <c r="G294" i="5"/>
  <c r="AB300" i="5"/>
  <c r="AB303" i="5"/>
  <c r="AB312" i="5"/>
  <c r="V312" i="5"/>
  <c r="G312" i="5" s="1"/>
  <c r="R331" i="5"/>
  <c r="F331" i="5"/>
  <c r="E384" i="5"/>
  <c r="X384" i="5" s="1"/>
  <c r="J384" i="5"/>
  <c r="R384" i="5"/>
  <c r="I384" i="5"/>
  <c r="H384" i="5"/>
  <c r="F384" i="5"/>
  <c r="AB402" i="5"/>
  <c r="V402" i="5"/>
  <c r="G402" i="5" s="1"/>
  <c r="F20" i="5"/>
  <c r="AB31" i="5"/>
  <c r="G5" i="5"/>
  <c r="F22" i="5"/>
  <c r="AB25" i="5"/>
  <c r="G29" i="5"/>
  <c r="AB37" i="5"/>
  <c r="F40" i="5"/>
  <c r="AB45" i="5"/>
  <c r="F48" i="5"/>
  <c r="AB53" i="5"/>
  <c r="AB57" i="5"/>
  <c r="AB61" i="5"/>
  <c r="AB65" i="5"/>
  <c r="AB69" i="5"/>
  <c r="AB73" i="5"/>
  <c r="F76" i="5"/>
  <c r="AB81" i="5"/>
  <c r="F84" i="5"/>
  <c r="AB89" i="5"/>
  <c r="F92" i="5"/>
  <c r="F96" i="5"/>
  <c r="V100" i="5"/>
  <c r="AB113" i="5"/>
  <c r="R117" i="5"/>
  <c r="V120" i="5"/>
  <c r="G120" i="5" s="1"/>
  <c r="X121" i="5"/>
  <c r="AB123" i="5"/>
  <c r="AB145" i="5"/>
  <c r="R149" i="5"/>
  <c r="V152" i="5"/>
  <c r="X153" i="5"/>
  <c r="F154" i="5"/>
  <c r="R154" i="5"/>
  <c r="AB155" i="5"/>
  <c r="AB177" i="5"/>
  <c r="R181" i="5"/>
  <c r="V184" i="5"/>
  <c r="G184" i="5" s="1"/>
  <c r="X185" i="5"/>
  <c r="F186" i="5"/>
  <c r="R186" i="5"/>
  <c r="AB187" i="5"/>
  <c r="V208" i="5"/>
  <c r="R209" i="5"/>
  <c r="F214" i="5"/>
  <c r="R214" i="5"/>
  <c r="AB216" i="5"/>
  <c r="F226" i="5"/>
  <c r="X226" i="5"/>
  <c r="R226" i="5"/>
  <c r="AB232" i="5"/>
  <c r="F250" i="5"/>
  <c r="R250" i="5"/>
  <c r="F266" i="5"/>
  <c r="X266" i="5"/>
  <c r="R266" i="5"/>
  <c r="R282" i="5"/>
  <c r="F298" i="5"/>
  <c r="X298" i="5"/>
  <c r="R298" i="5"/>
  <c r="R327" i="5"/>
  <c r="F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F6" i="5"/>
  <c r="G21" i="5"/>
  <c r="F30" i="5"/>
  <c r="AB33" i="5"/>
  <c r="F36" i="5"/>
  <c r="AB41" i="5"/>
  <c r="F44" i="5"/>
  <c r="AB49" i="5"/>
  <c r="F52" i="5"/>
  <c r="F56" i="5"/>
  <c r="F60" i="5"/>
  <c r="F64" i="5"/>
  <c r="F68" i="5"/>
  <c r="F72" i="5"/>
  <c r="AB77" i="5"/>
  <c r="F80" i="5"/>
  <c r="AB85" i="5"/>
  <c r="F88" i="5"/>
  <c r="AB93" i="5"/>
  <c r="AB97" i="5"/>
  <c r="F122" i="5"/>
  <c r="R122" i="5"/>
  <c r="R18" i="5"/>
  <c r="F19" i="5"/>
  <c r="R23" i="5"/>
  <c r="R26" i="5"/>
  <c r="F27" i="5"/>
  <c r="X30" i="5"/>
  <c r="R31" i="5"/>
  <c r="X36" i="5"/>
  <c r="X40" i="5"/>
  <c r="X52" i="5"/>
  <c r="X56" i="5"/>
  <c r="X60" i="5"/>
  <c r="X64" i="5"/>
  <c r="X68" i="5"/>
  <c r="X72" i="5"/>
  <c r="X80" i="5"/>
  <c r="X84" i="5"/>
  <c r="X88" i="5"/>
  <c r="X101" i="5"/>
  <c r="R102" i="5"/>
  <c r="AB103" i="5"/>
  <c r="G109" i="5"/>
  <c r="G110" i="5"/>
  <c r="AB112" i="5"/>
  <c r="F121" i="5"/>
  <c r="AB125" i="5"/>
  <c r="R129" i="5"/>
  <c r="V132" i="5"/>
  <c r="G132" i="5" s="1"/>
  <c r="X133" i="5"/>
  <c r="F134" i="5"/>
  <c r="R134" i="5"/>
  <c r="AB135" i="5"/>
  <c r="G141" i="5"/>
  <c r="G142" i="5"/>
  <c r="AB144" i="5"/>
  <c r="F153" i="5"/>
  <c r="AB157" i="5"/>
  <c r="R161" i="5"/>
  <c r="V164" i="5"/>
  <c r="X165" i="5"/>
  <c r="R166" i="5"/>
  <c r="T166" i="5"/>
  <c r="AB167" i="5"/>
  <c r="T167" i="5"/>
  <c r="T169" i="5"/>
  <c r="G174" i="5"/>
  <c r="AB176" i="5"/>
  <c r="F185" i="5"/>
  <c r="X186" i="5"/>
  <c r="AB189" i="5"/>
  <c r="R193" i="5"/>
  <c r="V196" i="5"/>
  <c r="X197" i="5"/>
  <c r="F198" i="5"/>
  <c r="R198" i="5"/>
  <c r="AB199" i="5"/>
  <c r="G205" i="5"/>
  <c r="G214" i="5"/>
  <c r="V216" i="5"/>
  <c r="G216" i="5" s="1"/>
  <c r="R217" i="5"/>
  <c r="G217" i="5"/>
  <c r="G226" i="5"/>
  <c r="F230" i="5"/>
  <c r="R230" i="5"/>
  <c r="AB236" i="5"/>
  <c r="G250" i="5"/>
  <c r="AB256" i="5"/>
  <c r="G266" i="5"/>
  <c r="AB272" i="5"/>
  <c r="AB288" i="5"/>
  <c r="G298" i="5"/>
  <c r="R315" i="5"/>
  <c r="F315" i="5"/>
  <c r="G327" i="5"/>
  <c r="R335" i="5"/>
  <c r="F335" i="5"/>
  <c r="V359" i="5"/>
  <c r="G359" i="5" s="1"/>
  <c r="G233" i="5"/>
  <c r="F310" i="5"/>
  <c r="F318" i="5"/>
  <c r="F326" i="5"/>
  <c r="X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AB225" i="5"/>
  <c r="V228" i="5"/>
  <c r="G228" i="5" s="1"/>
  <c r="AB229" i="5"/>
  <c r="V232" i="5"/>
  <c r="AB233" i="5"/>
  <c r="V236" i="5"/>
  <c r="G236" i="5" s="1"/>
  <c r="AB237" i="5"/>
  <c r="V240" i="5"/>
  <c r="G240" i="5" s="1"/>
  <c r="AB241" i="5"/>
  <c r="V244" i="5"/>
  <c r="G244" i="5" s="1"/>
  <c r="AB245" i="5"/>
  <c r="V248" i="5"/>
  <c r="G248" i="5" s="1"/>
  <c r="AB249" i="5"/>
  <c r="V252" i="5"/>
  <c r="G252" i="5" s="1"/>
  <c r="AB253" i="5"/>
  <c r="V256" i="5"/>
  <c r="AB257" i="5"/>
  <c r="V260" i="5"/>
  <c r="G260" i="5" s="1"/>
  <c r="AB261" i="5"/>
  <c r="V264" i="5"/>
  <c r="AB265" i="5"/>
  <c r="V268" i="5"/>
  <c r="AB269" i="5"/>
  <c r="V272" i="5"/>
  <c r="AB273" i="5"/>
  <c r="V276" i="5"/>
  <c r="AB277" i="5"/>
  <c r="V280" i="5"/>
  <c r="AB281" i="5"/>
  <c r="V284" i="5"/>
  <c r="AB285" i="5"/>
  <c r="V288" i="5"/>
  <c r="AB289" i="5"/>
  <c r="V292" i="5"/>
  <c r="G292" i="5" s="1"/>
  <c r="AB293" i="5"/>
  <c r="V296" i="5"/>
  <c r="AB297" i="5"/>
  <c r="V300" i="5"/>
  <c r="G300" i="5" s="1"/>
  <c r="AB301" i="5"/>
  <c r="R302" i="5"/>
  <c r="R304" i="5"/>
  <c r="V308" i="5"/>
  <c r="X310" i="5"/>
  <c r="AB310" i="5"/>
  <c r="V316" i="5"/>
  <c r="X318" i="5"/>
  <c r="AB318" i="5"/>
  <c r="V324" i="5"/>
  <c r="X326" i="5"/>
  <c r="AB326" i="5"/>
  <c r="AB332" i="5"/>
  <c r="G335"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AB305" i="5"/>
  <c r="G307" i="5"/>
  <c r="G310" i="5"/>
  <c r="AB313" i="5"/>
  <c r="G315" i="5"/>
  <c r="G318" i="5"/>
  <c r="AB321" i="5"/>
  <c r="G323" i="5"/>
  <c r="G326" i="5"/>
  <c r="AB329" i="5"/>
  <c r="G331" i="5"/>
  <c r="G332" i="5"/>
  <c r="G333"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T273" i="5"/>
  <c r="T289" i="5"/>
  <c r="F332" i="5"/>
  <c r="AB333"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F314" i="5"/>
  <c r="F322"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X314" i="5"/>
  <c r="R318" i="5"/>
  <c r="X322" i="5"/>
  <c r="R326"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X336" i="5"/>
  <c r="T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T76" i="5"/>
  <c r="T36" i="5"/>
  <c r="T32" i="5"/>
  <c r="T219" i="5"/>
  <c r="T74" i="5"/>
  <c r="T158" i="5"/>
  <c r="T263" i="5"/>
  <c r="T198" i="5"/>
  <c r="T122" i="5"/>
  <c r="S255" i="5"/>
  <c r="T77" i="5"/>
  <c r="T159" i="5"/>
  <c r="S105" i="5"/>
  <c r="S231" i="5"/>
  <c r="T161" i="5"/>
  <c r="T294" i="5"/>
  <c r="T115" i="5"/>
  <c r="T59" i="5"/>
  <c r="T315" i="5"/>
  <c r="T134" i="5"/>
  <c r="T81" i="5"/>
  <c r="S31" i="5"/>
  <c r="T50" i="5"/>
  <c r="T229" i="5"/>
  <c r="S257" i="5"/>
  <c r="T6" i="5"/>
  <c r="S193" i="5"/>
  <c r="T106" i="5"/>
  <c r="S205" i="5"/>
  <c r="T253" i="5"/>
  <c r="T241" i="5"/>
  <c r="T101" i="5"/>
  <c r="T49" i="5"/>
  <c r="T111" i="5"/>
  <c r="T149" i="5"/>
  <c r="T137" i="5"/>
  <c r="T44" i="5"/>
  <c r="T275" i="5"/>
  <c r="T19" i="5"/>
  <c r="S304" i="5"/>
  <c r="T313" i="5"/>
  <c r="T223" i="5"/>
  <c r="T237" i="5"/>
  <c r="S94" i="5"/>
  <c r="T215" i="5"/>
  <c r="T85" i="5"/>
  <c r="T255" i="5"/>
  <c r="S53" i="5"/>
  <c r="T72" i="5"/>
  <c r="S275" i="5"/>
  <c r="T245" i="5"/>
  <c r="S41" i="5"/>
  <c r="T96" i="5"/>
  <c r="T45" i="5"/>
  <c r="T286" i="5"/>
  <c r="T225" i="5"/>
  <c r="S129" i="5"/>
  <c r="T105" i="5"/>
  <c r="T138" i="5"/>
  <c r="T239" i="5"/>
  <c r="T226" i="5"/>
  <c r="S49" i="5"/>
  <c r="T282" i="5"/>
  <c r="T63" i="5"/>
  <c r="T141" i="5"/>
  <c r="T129" i="5"/>
  <c r="S210" i="5"/>
  <c r="T233" i="5"/>
  <c r="S263" i="5"/>
  <c r="T189" i="5"/>
  <c r="T82" i="5"/>
  <c r="T150" i="5"/>
  <c r="S35" i="5"/>
  <c r="S51" i="5"/>
  <c r="T190" i="5"/>
  <c r="T197" i="5"/>
  <c r="T80" i="5"/>
  <c r="T234" i="5"/>
  <c r="T121" i="5"/>
  <c r="T174" i="5"/>
  <c r="T321" i="5"/>
  <c r="S77" i="5"/>
  <c r="T295" i="5"/>
  <c r="T178" i="5"/>
  <c r="T209" i="5"/>
  <c r="T329" i="5"/>
  <c r="S187" i="5"/>
  <c r="S283" i="5"/>
  <c r="T34" i="5"/>
  <c r="T326" i="5"/>
  <c r="T54" i="5"/>
  <c r="T299" i="5"/>
  <c r="T130" i="5"/>
  <c r="T285" i="5"/>
  <c r="T22" i="5"/>
  <c r="S81" i="5"/>
  <c r="T66" i="5"/>
  <c r="T333" i="5"/>
  <c r="T18" i="5"/>
  <c r="S213" i="5"/>
  <c r="S269" i="5"/>
  <c r="S175" i="5"/>
  <c r="T143" i="5"/>
  <c r="T262" i="5"/>
  <c r="T117" i="5"/>
  <c r="S170" i="5"/>
  <c r="T86" i="5"/>
  <c r="T67" i="5"/>
  <c r="S159" i="5"/>
  <c r="T310" i="5"/>
  <c r="T27" i="5"/>
  <c r="T309" i="5"/>
  <c r="S26" i="5"/>
  <c r="T222" i="5"/>
  <c r="T51" i="5"/>
  <c r="T332" i="5"/>
  <c r="T265" i="5"/>
  <c r="T205" i="5"/>
  <c r="S23" i="5"/>
  <c r="T55" i="5"/>
  <c r="T118" i="5"/>
  <c r="S65" i="5"/>
  <c r="T201" i="5"/>
  <c r="T258" i="5"/>
  <c r="T147" i="5"/>
  <c r="T139" i="5"/>
  <c r="S235" i="5"/>
  <c r="T107" i="5"/>
  <c r="S155" i="5"/>
  <c r="T70" i="5"/>
  <c r="T304" i="5"/>
  <c r="T28" i="5"/>
  <c r="T247" i="5"/>
  <c r="T113" i="5"/>
  <c r="T119" i="5"/>
  <c r="T217" i="5"/>
  <c r="T266" i="5"/>
  <c r="S190" i="5"/>
  <c r="S247" i="5"/>
  <c r="S57" i="5"/>
  <c r="T181" i="5"/>
  <c r="S119" i="5"/>
  <c r="S99" i="5"/>
  <c r="T146" i="5"/>
  <c r="T291" i="5"/>
  <c r="T93" i="5"/>
  <c r="S145" i="5"/>
  <c r="T283" i="5"/>
  <c r="T33" i="5"/>
  <c r="S150" i="5"/>
  <c r="S259" i="5"/>
  <c r="S79" i="5"/>
  <c r="S271" i="5"/>
  <c r="T221" i="5"/>
  <c r="S42" i="5"/>
  <c r="T186" i="5"/>
  <c r="T26" i="5"/>
  <c r="S25" i="5"/>
  <c r="T203" i="5"/>
  <c r="T62" i="5"/>
  <c r="T235" i="5"/>
  <c r="T301" i="5"/>
  <c r="S131" i="5"/>
  <c r="T154" i="5"/>
  <c r="T218" i="5"/>
  <c r="S137" i="5"/>
  <c r="T193" i="5"/>
  <c r="T57" i="5"/>
  <c r="T75" i="5"/>
  <c r="S37" i="5"/>
  <c r="S39" i="5"/>
  <c r="S75" i="5"/>
  <c r="T29" i="5"/>
  <c r="S19" i="5"/>
  <c r="S195" i="5"/>
  <c r="S67" i="5"/>
  <c r="T246" i="5"/>
  <c r="S135" i="5"/>
  <c r="T230" i="5"/>
  <c r="T125" i="5"/>
  <c r="S107" i="5"/>
  <c r="S85" i="5"/>
  <c r="T61" i="5"/>
  <c r="S179" i="5"/>
  <c r="T30" i="5"/>
  <c r="T210" i="5"/>
  <c r="S153" i="5"/>
  <c r="T261" i="5"/>
  <c r="T90" i="5"/>
  <c r="T102" i="5"/>
  <c r="T278" i="5"/>
  <c r="T214" i="5"/>
  <c r="T60" i="5"/>
  <c r="S133" i="5"/>
  <c r="T35" i="5"/>
  <c r="T177" i="5"/>
  <c r="S47" i="5"/>
  <c r="T298" i="5"/>
  <c r="S58" i="5"/>
  <c r="T84" i="5"/>
  <c r="S103" i="5"/>
  <c r="T270" i="5"/>
  <c r="S28" i="5"/>
  <c r="T65" i="5"/>
  <c r="S55" i="5"/>
  <c r="T257" i="5"/>
  <c r="T195" i="5"/>
  <c r="S161" i="5"/>
  <c r="T269" i="5"/>
  <c r="T39" i="5"/>
  <c r="T319" i="5"/>
  <c r="S63" i="5"/>
  <c r="T99" i="5"/>
  <c r="S227" i="5"/>
  <c r="S173" i="5"/>
  <c r="T135" i="5"/>
  <c r="T123" i="5"/>
  <c r="T20" i="5"/>
  <c r="S61" i="5"/>
  <c r="S101" i="5"/>
  <c r="T227" i="5"/>
  <c r="S229" i="5"/>
  <c r="T171" i="5"/>
  <c r="T249" i="5"/>
  <c r="S189" i="5"/>
  <c r="S289" i="5"/>
  <c r="S177" i="5"/>
  <c r="T53" i="5"/>
  <c r="T131" i="5"/>
  <c r="T325" i="5"/>
  <c r="T231" i="5"/>
  <c r="S147" i="5"/>
  <c r="S115" i="5"/>
  <c r="T58" i="5"/>
  <c r="T213" i="5"/>
  <c r="T133" i="5"/>
  <c r="S69" i="5"/>
  <c r="T322" i="5"/>
  <c r="T114" i="5"/>
  <c r="T47" i="5"/>
  <c r="T83" i="5"/>
  <c r="T48" i="5"/>
  <c r="S33" i="5"/>
  <c r="T78" i="5"/>
  <c r="S45" i="5"/>
  <c r="T302" i="5"/>
  <c r="S199" i="5"/>
  <c r="T317" i="5"/>
  <c r="S237" i="5"/>
  <c r="T21" i="5"/>
  <c r="T323" i="5"/>
  <c r="S111" i="5"/>
  <c r="S295" i="5"/>
  <c r="T314" i="5"/>
  <c r="S225" i="5"/>
  <c r="T153" i="5"/>
  <c r="T42" i="5"/>
  <c r="T187" i="5"/>
  <c r="T109" i="5"/>
  <c r="S203" i="5"/>
  <c r="T40" i="5"/>
  <c r="S302" i="5"/>
  <c r="T25" i="5"/>
  <c r="T254" i="5"/>
  <c r="T64" i="5"/>
  <c r="T95" i="5"/>
  <c r="T259" i="5"/>
  <c r="T335" i="5"/>
  <c r="T307" i="5"/>
  <c r="T5" i="5"/>
  <c r="T162" i="5"/>
  <c r="T267" i="5"/>
  <c r="T52" i="5"/>
  <c r="T97" i="5"/>
  <c r="S139" i="5"/>
  <c r="T24" i="5"/>
  <c r="S169" i="5"/>
  <c r="T145" i="5"/>
  <c r="T31" i="5"/>
  <c r="S125" i="5"/>
  <c r="S299" i="5"/>
  <c r="T69" i="5"/>
  <c r="S183" i="5"/>
  <c r="T89" i="5"/>
  <c r="T98" i="5"/>
  <c r="S106" i="5"/>
  <c r="T271" i="5"/>
  <c r="T73" i="5"/>
  <c r="T157" i="5"/>
  <c r="T46" i="5"/>
  <c r="T199" i="5"/>
  <c r="S59" i="5"/>
  <c r="S95" i="5"/>
  <c r="S267" i="5"/>
  <c r="T242" i="5"/>
  <c r="T110" i="5"/>
  <c r="S74" i="5"/>
  <c r="S291" i="5"/>
  <c r="S167" i="5"/>
  <c r="S143" i="5"/>
  <c r="S113" i="5"/>
  <c r="T331" i="5"/>
  <c r="S27" i="5"/>
  <c r="S97" i="5"/>
  <c r="T155" i="5"/>
  <c r="T183" i="5"/>
  <c r="T88" i="5"/>
  <c r="T182" i="5"/>
  <c r="T202" i="5"/>
  <c r="S219" i="5"/>
  <c r="T94" i="5"/>
  <c r="T23" i="5"/>
  <c r="S93" i="5"/>
  <c r="S73" i="5"/>
  <c r="S123" i="5"/>
  <c r="T41" i="5"/>
  <c r="T127" i="5"/>
  <c r="T318" i="5"/>
  <c r="S89" i="5"/>
  <c r="T56" i="5"/>
  <c r="T327" i="5"/>
  <c r="T37" i="5"/>
  <c r="T92" i="5"/>
  <c r="T311" i="5"/>
  <c r="T68" i="5"/>
  <c r="T250" i="5"/>
  <c r="T238" i="5"/>
  <c r="T179" i="5"/>
  <c r="S127" i="5"/>
  <c r="T79" i="5"/>
  <c r="S171" i="5"/>
  <c r="S223" i="5"/>
  <c r="T206" i="5"/>
  <c r="T38" i="5"/>
  <c r="S18" i="5"/>
  <c r="S83" i="5"/>
  <c r="T126" i="5"/>
  <c r="T142" i="5"/>
  <c r="T297" i="5"/>
  <c r="T185" i="5"/>
  <c r="C8" i="6" l="1"/>
  <c r="E720" i="5"/>
  <c r="X720" i="5" s="1"/>
  <c r="F115" i="5"/>
  <c r="H1665" i="5"/>
  <c r="G1233" i="5"/>
  <c r="F1233" i="5"/>
  <c r="H987" i="5"/>
  <c r="F562" i="5"/>
  <c r="X335" i="5"/>
  <c r="X333" i="5"/>
  <c r="X331" i="5"/>
  <c r="X329" i="5"/>
  <c r="X327" i="5"/>
  <c r="X325" i="5"/>
  <c r="X323" i="5"/>
  <c r="X321" i="5"/>
  <c r="X319" i="5"/>
  <c r="X317" i="5"/>
  <c r="X315" i="5"/>
  <c r="X313" i="5"/>
  <c r="X311" i="5"/>
  <c r="X309" i="5"/>
  <c r="X301" i="5"/>
  <c r="X285" i="5"/>
  <c r="X282" i="5"/>
  <c r="X278" i="5"/>
  <c r="X265" i="5"/>
  <c r="X262" i="5"/>
  <c r="X253" i="5"/>
  <c r="X250" i="5"/>
  <c r="X249" i="5"/>
  <c r="X246" i="5"/>
  <c r="X242" i="5"/>
  <c r="X241" i="5"/>
  <c r="X234" i="5"/>
  <c r="X233" i="5"/>
  <c r="X230" i="5"/>
  <c r="X221" i="5"/>
  <c r="X218" i="5"/>
  <c r="X217" i="5"/>
  <c r="X214" i="5"/>
  <c r="X206" i="5"/>
  <c r="X202" i="5"/>
  <c r="X198" i="5"/>
  <c r="X182" i="5"/>
  <c r="X174" i="5"/>
  <c r="X162" i="5"/>
  <c r="X158" i="5"/>
  <c r="X154" i="5"/>
  <c r="X146" i="5"/>
  <c r="X142" i="5"/>
  <c r="X138" i="5"/>
  <c r="X134" i="5"/>
  <c r="X130" i="5"/>
  <c r="X126" i="5"/>
  <c r="X122" i="5"/>
  <c r="X118" i="5"/>
  <c r="X114" i="5"/>
  <c r="X98" i="5"/>
  <c r="X96" i="5"/>
  <c r="X92" i="5"/>
  <c r="X90" i="5"/>
  <c r="X86" i="5"/>
  <c r="X82" i="5"/>
  <c r="X78" i="5"/>
  <c r="X76" i="5"/>
  <c r="X70" i="5"/>
  <c r="X66" i="5"/>
  <c r="X62" i="5"/>
  <c r="X54" i="5"/>
  <c r="X50" i="5"/>
  <c r="X48" i="5"/>
  <c r="X46" i="5"/>
  <c r="X44" i="5"/>
  <c r="X38" i="5"/>
  <c r="X34" i="5"/>
  <c r="X22" i="5"/>
  <c r="C10" i="6"/>
  <c r="C4" i="6"/>
  <c r="C9" i="6"/>
  <c r="C7" i="6"/>
  <c r="C12" i="6"/>
  <c r="B32" i="6"/>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I730" i="5"/>
  <c r="F87" i="5"/>
  <c r="R87" i="5"/>
  <c r="J1842" i="5"/>
  <c r="H1696" i="5"/>
  <c r="E1317" i="5"/>
  <c r="X1317" i="5" s="1"/>
  <c r="J1086" i="5"/>
  <c r="I524" i="5"/>
  <c r="R439" i="5"/>
  <c r="G2342" i="5"/>
  <c r="B30" i="6"/>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F102" i="5"/>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G2413" i="5"/>
  <c r="E2301" i="5"/>
  <c r="X2301" i="5" s="1"/>
  <c r="G1936" i="5"/>
  <c r="I1801" i="5"/>
  <c r="J1664" i="5"/>
  <c r="I1712" i="5"/>
  <c r="E1494" i="5"/>
  <c r="X1494" i="5" s="1"/>
  <c r="E1190" i="5"/>
  <c r="X1190" i="5" s="1"/>
  <c r="J1352" i="5"/>
  <c r="I1292" i="5"/>
  <c r="R875" i="5"/>
  <c r="G712" i="5"/>
  <c r="R738" i="5"/>
  <c r="E749" i="5"/>
  <c r="X749" i="5" s="1"/>
  <c r="I717" i="5"/>
  <c r="R718" i="5"/>
  <c r="F757" i="5"/>
  <c r="F189" i="5"/>
  <c r="R20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F71" i="5"/>
  <c r="R71" i="5"/>
  <c r="F2381" i="5"/>
  <c r="E2405" i="5"/>
  <c r="X2405" i="5" s="1"/>
  <c r="J2386" i="5"/>
  <c r="R2180" i="5"/>
  <c r="H2160" i="5"/>
  <c r="F2100" i="5"/>
  <c r="R1952" i="5"/>
  <c r="H2035" i="5"/>
  <c r="F1867" i="5"/>
  <c r="R1786" i="5"/>
  <c r="R1131" i="5"/>
  <c r="R1304" i="5"/>
  <c r="I971" i="5"/>
  <c r="F1074" i="5"/>
  <c r="F971" i="5"/>
  <c r="I817" i="5"/>
  <c r="J379" i="5"/>
  <c r="G574" i="5"/>
  <c r="G189" i="5"/>
  <c r="G1665" i="5"/>
  <c r="R2386" i="5"/>
  <c r="I2160" i="5"/>
  <c r="E1952" i="5"/>
  <c r="X1952" i="5" s="1"/>
  <c r="I2035" i="5"/>
  <c r="E1786" i="5"/>
  <c r="X1786" i="5" s="1"/>
  <c r="I1471" i="5"/>
  <c r="R1471" i="5"/>
  <c r="R971" i="5"/>
  <c r="H1145" i="5"/>
  <c r="H971" i="5"/>
  <c r="J817" i="5"/>
  <c r="R817" i="5"/>
  <c r="F303" i="5"/>
  <c r="G971" i="5"/>
  <c r="F20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G463" i="5"/>
  <c r="R243" i="5"/>
  <c r="J1761" i="5"/>
  <c r="I1510" i="5"/>
  <c r="E1464" i="5"/>
  <c r="X1464" i="5" s="1"/>
  <c r="F1138" i="5"/>
  <c r="F891" i="5"/>
  <c r="H2265" i="5"/>
  <c r="F974" i="5"/>
  <c r="I2397" i="5"/>
  <c r="F2397" i="5"/>
  <c r="I2253" i="5"/>
  <c r="R2253" i="5"/>
  <c r="J2253" i="5"/>
  <c r="H2253" i="5"/>
  <c r="G2199" i="5"/>
  <c r="I2257" i="5"/>
  <c r="J2257" i="5"/>
  <c r="J1403" i="5"/>
  <c r="H1403" i="5"/>
  <c r="G1492" i="5"/>
  <c r="R191" i="5"/>
  <c r="R103" i="5"/>
  <c r="R314" i="5"/>
  <c r="F207" i="5"/>
  <c r="R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R239" i="5"/>
  <c r="F239" i="5"/>
  <c r="G103" i="5"/>
  <c r="I391" i="5"/>
  <c r="F391" i="5"/>
  <c r="G191" i="5"/>
  <c r="F915" i="5"/>
  <c r="H712" i="5"/>
  <c r="H427" i="5"/>
  <c r="I2213" i="5"/>
  <c r="R2213" i="5"/>
  <c r="J2213" i="5"/>
  <c r="H2213" i="5"/>
  <c r="F2213" i="5"/>
  <c r="J2381" i="5"/>
  <c r="I2381" i="5"/>
  <c r="E2381" i="5"/>
  <c r="X2381" i="5" s="1"/>
  <c r="J1309" i="5"/>
  <c r="I1309" i="5"/>
  <c r="J1325" i="5"/>
  <c r="F1325" i="5"/>
  <c r="R43" i="5"/>
  <c r="R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F163" i="5"/>
  <c r="G16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T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R279" i="5"/>
  <c r="R717" i="5"/>
  <c r="H717" i="5"/>
  <c r="R251" i="5"/>
  <c r="F251" i="5"/>
  <c r="R293" i="5"/>
  <c r="F293" i="5"/>
  <c r="G251"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F261" i="5"/>
  <c r="R277" i="5"/>
  <c r="E600" i="5"/>
  <c r="X600" i="5" s="1"/>
  <c r="R600" i="5"/>
  <c r="J600" i="5"/>
  <c r="F600" i="5"/>
  <c r="R151" i="5"/>
  <c r="F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R287" i="5"/>
  <c r="G423" i="5"/>
  <c r="E435" i="5"/>
  <c r="X435" i="5" s="1"/>
  <c r="I435" i="5"/>
  <c r="F435" i="5"/>
  <c r="R211" i="5"/>
  <c r="F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F305"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B35" i="6"/>
  <c r="G35" i="6" s="1"/>
  <c r="X6" i="5"/>
  <c r="B39" i="6"/>
  <c r="G39" i="6" s="1"/>
  <c r="F24" i="6"/>
  <c r="G30"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R324" i="5"/>
  <c r="G324" i="5"/>
  <c r="F324" i="5"/>
  <c r="F300" i="5"/>
  <c r="R300" i="5"/>
  <c r="F292" i="5"/>
  <c r="R292" i="5"/>
  <c r="T284" i="5"/>
  <c r="R284" i="5"/>
  <c r="R276" i="5"/>
  <c r="R268" i="5"/>
  <c r="F260" i="5"/>
  <c r="R260" i="5"/>
  <c r="F252" i="5"/>
  <c r="R252" i="5"/>
  <c r="F244" i="5"/>
  <c r="R244" i="5"/>
  <c r="F236" i="5"/>
  <c r="R236" i="5"/>
  <c r="F228" i="5"/>
  <c r="R228" i="5"/>
  <c r="F132" i="5"/>
  <c r="R132" i="5"/>
  <c r="R402" i="5"/>
  <c r="J402" i="5"/>
  <c r="I402" i="5"/>
  <c r="H402" i="5"/>
  <c r="F402" i="5"/>
  <c r="E402" i="5"/>
  <c r="X402" i="5" s="1"/>
  <c r="G355" i="5"/>
  <c r="F204" i="5"/>
  <c r="R204" i="5"/>
  <c r="F116" i="5"/>
  <c r="R116" i="5"/>
  <c r="F104" i="5"/>
  <c r="R104" i="5"/>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H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F184" i="5"/>
  <c r="R184" i="5"/>
  <c r="F328" i="5"/>
  <c r="R328" i="5"/>
  <c r="F220" i="5"/>
  <c r="R220" i="5"/>
  <c r="F176" i="5"/>
  <c r="R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F216" i="5"/>
  <c r="R216" i="5"/>
  <c r="F120" i="5"/>
  <c r="R120" i="5"/>
  <c r="F140" i="5"/>
  <c r="R140" i="5"/>
  <c r="F192" i="5"/>
  <c r="R192" i="5"/>
  <c r="A25" i="6"/>
  <c r="B57" i="4"/>
  <c r="A40" i="6" s="1"/>
  <c r="B51" i="4"/>
  <c r="A35" i="6" s="1"/>
  <c r="B69" i="4"/>
  <c r="A50" i="6" s="1"/>
  <c r="B63" i="4"/>
  <c r="A45" i="6" s="1"/>
  <c r="F67" i="6"/>
  <c r="F31" i="6"/>
  <c r="F46" i="6"/>
  <c r="F41" i="6"/>
  <c r="H41" i="6" s="1"/>
  <c r="D41" i="6" s="1"/>
  <c r="F36" i="6"/>
  <c r="F51" i="6"/>
  <c r="H51" i="6" s="1"/>
  <c r="D51" i="6" s="1"/>
  <c r="J2479" i="5"/>
  <c r="I2479" i="5"/>
  <c r="E2479" i="5"/>
  <c r="X2479" i="5" s="1"/>
  <c r="R2479" i="5"/>
  <c r="H2479" i="5"/>
  <c r="G2479" i="5"/>
  <c r="F2479" i="5"/>
  <c r="F45" i="6"/>
  <c r="F66" i="6"/>
  <c r="F50" i="6"/>
  <c r="H50" i="6" s="1"/>
  <c r="D50" i="6" s="1"/>
  <c r="F30" i="6"/>
  <c r="H25" i="6"/>
  <c r="F35" i="6"/>
  <c r="H35" i="6" s="1"/>
  <c r="D35" i="6" s="1"/>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F296" i="5"/>
  <c r="R296" i="5"/>
  <c r="R288" i="5"/>
  <c r="T280" i="5"/>
  <c r="R280" i="5"/>
  <c r="T272" i="5"/>
  <c r="R272" i="5"/>
  <c r="F264" i="5"/>
  <c r="R264" i="5"/>
  <c r="F256" i="5"/>
  <c r="R256" i="5"/>
  <c r="F248" i="5"/>
  <c r="R248" i="5"/>
  <c r="F240" i="5"/>
  <c r="R240" i="5"/>
  <c r="F232" i="5"/>
  <c r="R232" i="5"/>
  <c r="F224" i="5"/>
  <c r="R224" i="5"/>
  <c r="R382" i="5"/>
  <c r="I382" i="5"/>
  <c r="H382" i="5"/>
  <c r="F382" i="5"/>
  <c r="J382" i="5"/>
  <c r="G382" i="5"/>
  <c r="E382" i="5"/>
  <c r="X382" i="5" s="1"/>
  <c r="E359" i="5"/>
  <c r="X359" i="5" s="1"/>
  <c r="R359" i="5"/>
  <c r="J359" i="5"/>
  <c r="H359" i="5"/>
  <c r="F359" i="5"/>
  <c r="I359" i="5"/>
  <c r="F196" i="5"/>
  <c r="R196" i="5"/>
  <c r="F208" i="5"/>
  <c r="R208" i="5"/>
  <c r="F144" i="5"/>
  <c r="R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F124" i="5"/>
  <c r="R124" i="5"/>
  <c r="A27" i="6"/>
  <c r="B53" i="4"/>
  <c r="A37" i="6" s="1"/>
  <c r="B65" i="4"/>
  <c r="A47" i="6" s="1"/>
  <c r="B71" i="4"/>
  <c r="A52" i="6" s="1"/>
  <c r="B59" i="4"/>
  <c r="A42" i="6" s="1"/>
  <c r="H2463" i="5"/>
  <c r="I2463" i="5"/>
  <c r="F2463" i="5"/>
  <c r="E2463" i="5"/>
  <c r="X2463" i="5" s="1"/>
  <c r="R2463" i="5"/>
  <c r="J2463" i="5"/>
  <c r="F42" i="6"/>
  <c r="H42" i="6" s="1"/>
  <c r="D42" i="6" s="1"/>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56" i="5"/>
  <c r="G224" i="5"/>
  <c r="R316" i="5"/>
  <c r="G316" i="5"/>
  <c r="F316" i="5"/>
  <c r="G196" i="5"/>
  <c r="G208" i="5"/>
  <c r="T172" i="5"/>
  <c r="R172" i="5"/>
  <c r="F160" i="5"/>
  <c r="R160" i="5"/>
  <c r="F180" i="5"/>
  <c r="R180" i="5"/>
  <c r="F200" i="5"/>
  <c r="R200" i="5"/>
  <c r="F156" i="5"/>
  <c r="R156" i="5"/>
  <c r="G144" i="5"/>
  <c r="R308" i="5"/>
  <c r="G308" i="5"/>
  <c r="F308" i="5"/>
  <c r="F100" i="5"/>
  <c r="R100" i="5"/>
  <c r="G100" i="5"/>
  <c r="F312" i="5"/>
  <c r="R312" i="5"/>
  <c r="F188" i="5"/>
  <c r="R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F148" i="5"/>
  <c r="R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E339" i="5"/>
  <c r="X339" i="5" s="1"/>
  <c r="R339" i="5"/>
  <c r="H339" i="5"/>
  <c r="F339" i="5"/>
  <c r="J339" i="5"/>
  <c r="I339" i="5"/>
  <c r="F152" i="5"/>
  <c r="R152" i="5"/>
  <c r="F212" i="5"/>
  <c r="R212" i="5"/>
  <c r="T168" i="5"/>
  <c r="R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52" i="5"/>
  <c r="F108" i="5"/>
  <c r="R108" i="5"/>
  <c r="G212" i="5"/>
  <c r="F128" i="5"/>
  <c r="R128" i="5"/>
  <c r="F136" i="5"/>
  <c r="R136" i="5"/>
  <c r="F320" i="5"/>
  <c r="R320" i="5"/>
  <c r="F112" i="5"/>
  <c r="R112" i="5"/>
  <c r="T212" i="5"/>
  <c r="T279" i="5"/>
  <c r="S178" i="5"/>
  <c r="T160" i="5"/>
  <c r="T328" i="5"/>
  <c r="S246" i="5"/>
  <c r="S80" i="5"/>
  <c r="T268" i="5"/>
  <c r="S233" i="5"/>
  <c r="T132" i="5"/>
  <c r="S331" i="5"/>
  <c r="S64" i="5"/>
  <c r="S142" i="5"/>
  <c r="S60" i="5"/>
  <c r="T164" i="5"/>
  <c r="T288" i="5"/>
  <c r="S332" i="5"/>
  <c r="S286" i="5"/>
  <c r="S234" i="5"/>
  <c r="S311" i="5"/>
  <c r="S149" i="5"/>
  <c r="S285" i="5"/>
  <c r="T220" i="5"/>
  <c r="S92" i="5"/>
  <c r="S70" i="5"/>
  <c r="T152" i="5"/>
  <c r="T128" i="5"/>
  <c r="S96" i="5"/>
  <c r="S68" i="5"/>
  <c r="T260" i="5"/>
  <c r="T43" i="5"/>
  <c r="S24" i="5"/>
  <c r="S40" i="5"/>
  <c r="S250" i="5"/>
  <c r="S86" i="5"/>
  <c r="S54" i="5"/>
  <c r="S138" i="5"/>
  <c r="S274" i="5"/>
  <c r="S84" i="5"/>
  <c r="S110" i="5"/>
  <c r="S282" i="5"/>
  <c r="S154" i="5"/>
  <c r="T191" i="5"/>
  <c r="S329" i="5"/>
  <c r="T71" i="5"/>
  <c r="S245" i="5"/>
  <c r="T175" i="5"/>
  <c r="S197" i="5"/>
  <c r="T240" i="5"/>
  <c r="T200" i="5"/>
  <c r="S336" i="5"/>
  <c r="T320" i="5"/>
  <c r="T208" i="5"/>
  <c r="T277" i="5"/>
  <c r="T303" i="5"/>
  <c r="S278" i="5"/>
  <c r="T144" i="5"/>
  <c r="S76" i="5"/>
  <c r="T251" i="5"/>
  <c r="S122" i="5"/>
  <c r="S29" i="5"/>
  <c r="S209" i="5"/>
  <c r="S310" i="5"/>
  <c r="S78" i="5"/>
  <c r="S315" i="5"/>
  <c r="S90" i="5"/>
  <c r="T100" i="5"/>
  <c r="S249" i="5"/>
  <c r="T116" i="5"/>
  <c r="S66" i="5"/>
  <c r="S218" i="5"/>
  <c r="S301" i="5"/>
  <c r="S198" i="5"/>
  <c r="S20" i="5"/>
  <c r="S44" i="5"/>
  <c r="S323" i="5"/>
  <c r="S294" i="5"/>
  <c r="S158" i="5"/>
  <c r="S262" i="5"/>
  <c r="T120" i="5"/>
  <c r="T112" i="5"/>
  <c r="S100" i="5"/>
  <c r="S114" i="5"/>
  <c r="S298" i="5"/>
  <c r="T292" i="5"/>
  <c r="S62" i="5"/>
  <c r="S325" i="5"/>
  <c r="S309" i="5"/>
  <c r="T232" i="5"/>
  <c r="S258" i="5"/>
  <c r="T316" i="5"/>
  <c r="T156" i="5"/>
  <c r="T330" i="5"/>
  <c r="S48" i="5"/>
  <c r="T252" i="5"/>
  <c r="T276" i="5"/>
  <c r="S319" i="5"/>
  <c r="T224" i="5"/>
  <c r="T184" i="5"/>
  <c r="T103" i="5"/>
  <c r="S265" i="5"/>
  <c r="T306" i="5"/>
  <c r="S46" i="5"/>
  <c r="S32" i="5"/>
  <c r="T296" i="5"/>
  <c r="S5" i="5"/>
  <c r="S21" i="5"/>
  <c r="S174" i="5"/>
  <c r="T256" i="5"/>
  <c r="T194" i="5"/>
  <c r="S72" i="5"/>
  <c r="S157" i="5"/>
  <c r="S217" i="5"/>
  <c r="T192" i="5"/>
  <c r="S34" i="5"/>
  <c r="T216" i="5"/>
  <c r="T176" i="5"/>
  <c r="T204" i="5"/>
  <c r="T305" i="5"/>
  <c r="T180" i="5"/>
  <c r="S130" i="5"/>
  <c r="S273" i="5"/>
  <c r="S186" i="5"/>
  <c r="S242" i="5"/>
  <c r="S56" i="5"/>
  <c r="S270" i="5"/>
  <c r="T104" i="5"/>
  <c r="T324" i="5"/>
  <c r="T124" i="5"/>
  <c r="S38" i="5"/>
  <c r="S206" i="5"/>
  <c r="S126" i="5"/>
  <c r="T207" i="5"/>
  <c r="S335" i="5"/>
  <c r="S146" i="5"/>
  <c r="S162" i="5"/>
  <c r="T140" i="5"/>
  <c r="S185" i="5"/>
  <c r="S82" i="5"/>
  <c r="S165" i="5"/>
  <c r="S254" i="5"/>
  <c r="T163" i="5"/>
  <c r="S226" i="5"/>
  <c r="T211" i="5"/>
  <c r="S238" i="5"/>
  <c r="S30" i="5"/>
  <c r="S317" i="5"/>
  <c r="T108" i="5"/>
  <c r="S166" i="5"/>
  <c r="S36" i="5"/>
  <c r="T243" i="5"/>
  <c r="S230" i="5"/>
  <c r="T91" i="5"/>
  <c r="S266" i="5"/>
  <c r="T293" i="5"/>
  <c r="S290" i="5"/>
  <c r="S118" i="5"/>
  <c r="T87" i="5"/>
  <c r="T308" i="5"/>
  <c r="S134" i="5"/>
  <c r="S202" i="5"/>
  <c r="S50" i="5"/>
  <c r="T248" i="5"/>
  <c r="S117" i="5"/>
  <c r="S327" i="5"/>
  <c r="T228" i="5"/>
  <c r="S314" i="5"/>
  <c r="S307" i="5"/>
  <c r="T264" i="5"/>
  <c r="S121" i="5"/>
  <c r="S88" i="5"/>
  <c r="S52" i="5"/>
  <c r="S6" i="5"/>
  <c r="T312" i="5"/>
  <c r="T188" i="5"/>
  <c r="S109" i="5"/>
  <c r="S321" i="5"/>
  <c r="S222" i="5"/>
  <c r="T287" i="5"/>
  <c r="T148" i="5"/>
  <c r="S241" i="5"/>
  <c r="S182" i="5"/>
  <c r="S322" i="5"/>
  <c r="T196" i="5"/>
  <c r="S181" i="5"/>
  <c r="S98" i="5"/>
  <c r="S318" i="5"/>
  <c r="T334" i="5"/>
  <c r="S141" i="5"/>
  <c r="T281" i="5"/>
  <c r="S333" i="5"/>
  <c r="S221" i="5"/>
  <c r="S313" i="5"/>
  <c r="S22" i="5"/>
  <c r="S326" i="5"/>
  <c r="T236" i="5"/>
  <c r="S214" i="5"/>
  <c r="S253" i="5"/>
  <c r="T136" i="5"/>
  <c r="T300" i="5"/>
  <c r="T151" i="5"/>
  <c r="T244" i="5"/>
  <c r="H45" i="6" l="1"/>
  <c r="D45" i="6" s="1"/>
  <c r="H40" i="6"/>
  <c r="D40" i="6" s="1"/>
  <c r="X334" i="5"/>
  <c r="X330" i="5"/>
  <c r="X328" i="5"/>
  <c r="X324" i="5"/>
  <c r="X320" i="5"/>
  <c r="X316" i="5"/>
  <c r="X312" i="5"/>
  <c r="X308" i="5"/>
  <c r="X306" i="5"/>
  <c r="X305" i="5"/>
  <c r="X303" i="5"/>
  <c r="X300" i="5"/>
  <c r="X297" i="5"/>
  <c r="X296" i="5"/>
  <c r="X293" i="5"/>
  <c r="X292" i="5"/>
  <c r="X288" i="5"/>
  <c r="X287" i="5"/>
  <c r="X284" i="5"/>
  <c r="X281" i="5"/>
  <c r="X280" i="5"/>
  <c r="X279" i="5"/>
  <c r="X277" i="5"/>
  <c r="X276" i="5"/>
  <c r="X272" i="5"/>
  <c r="X268" i="5"/>
  <c r="X264" i="5"/>
  <c r="X261" i="5"/>
  <c r="X260" i="5"/>
  <c r="X256" i="5"/>
  <c r="X252" i="5"/>
  <c r="X251" i="5"/>
  <c r="X248" i="5"/>
  <c r="X244" i="5"/>
  <c r="X243" i="5"/>
  <c r="X240" i="5"/>
  <c r="X239" i="5"/>
  <c r="X236" i="5"/>
  <c r="X232" i="5"/>
  <c r="X228" i="5"/>
  <c r="X224" i="5"/>
  <c r="X220" i="5"/>
  <c r="X216" i="5"/>
  <c r="X215" i="5"/>
  <c r="X212" i="5"/>
  <c r="X211" i="5"/>
  <c r="X208" i="5"/>
  <c r="X207" i="5"/>
  <c r="X204" i="5"/>
  <c r="X201" i="5"/>
  <c r="X200" i="5"/>
  <c r="X196" i="5"/>
  <c r="X194" i="5"/>
  <c r="X192" i="5"/>
  <c r="X191" i="5"/>
  <c r="X188" i="5"/>
  <c r="X184" i="5"/>
  <c r="X180" i="5"/>
  <c r="X176" i="5"/>
  <c r="X172" i="5"/>
  <c r="X168" i="5"/>
  <c r="X164" i="5"/>
  <c r="X163" i="5"/>
  <c r="X160" i="5"/>
  <c r="X156" i="5"/>
  <c r="X152" i="5"/>
  <c r="X151" i="5"/>
  <c r="X148" i="5"/>
  <c r="X144" i="5"/>
  <c r="X140" i="5"/>
  <c r="X136" i="5"/>
  <c r="X132" i="5"/>
  <c r="X128" i="5"/>
  <c r="X124" i="5"/>
  <c r="X120" i="5"/>
  <c r="X116" i="5"/>
  <c r="X112" i="5"/>
  <c r="X108" i="5"/>
  <c r="X104" i="5"/>
  <c r="X102" i="5"/>
  <c r="X91" i="5"/>
  <c r="X87" i="5"/>
  <c r="X71" i="5"/>
  <c r="X43" i="5"/>
  <c r="H36" i="6"/>
  <c r="D36" i="6" s="1"/>
  <c r="H24" i="6"/>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G68" i="6" s="1"/>
  <c r="H68" i="6" s="1"/>
  <c r="D68" i="6" s="1"/>
  <c r="V13" i="5"/>
  <c r="G13" i="5" s="1"/>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S303" i="5"/>
  <c r="S132" i="5"/>
  <c r="S216" i="5"/>
  <c r="S116" i="5"/>
  <c r="S43" i="5"/>
  <c r="S312" i="5"/>
  <c r="S200" i="5"/>
  <c r="S281" i="5"/>
  <c r="S330" i="5"/>
  <c r="S163" i="5"/>
  <c r="S328" i="5"/>
  <c r="S220" i="5"/>
  <c r="S168" i="5"/>
  <c r="S124" i="5"/>
  <c r="S148" i="5"/>
  <c r="S160" i="5"/>
  <c r="S112" i="5"/>
  <c r="S288" i="5"/>
  <c r="S256" i="5"/>
  <c r="S196" i="5"/>
  <c r="S305" i="5"/>
  <c r="S300" i="5"/>
  <c r="S277" i="5"/>
  <c r="S215" i="5"/>
  <c r="S144" i="5"/>
  <c r="S239" i="5"/>
  <c r="S236" i="5"/>
  <c r="S180" i="5"/>
  <c r="S284" i="5"/>
  <c r="S224" i="5"/>
  <c r="S248" i="5"/>
  <c r="S176" i="5"/>
  <c r="S279" i="5"/>
  <c r="S191" i="5"/>
  <c r="S243" i="5"/>
  <c r="S240" i="5"/>
  <c r="S204" i="5"/>
  <c r="S104" i="5"/>
  <c r="S108" i="5"/>
  <c r="S140" i="5"/>
  <c r="S244" i="5"/>
  <c r="S280" i="5"/>
  <c r="S156" i="5"/>
  <c r="S260" i="5"/>
  <c r="S152" i="5"/>
  <c r="S293" i="5"/>
  <c r="S201" i="5"/>
  <c r="S320" i="5"/>
  <c r="S306" i="5"/>
  <c r="S287" i="5"/>
  <c r="S264" i="5"/>
  <c r="S208" i="5"/>
  <c r="S334" i="5"/>
  <c r="S172" i="5"/>
  <c r="S212" i="5"/>
  <c r="S128" i="5"/>
  <c r="S296" i="5"/>
  <c r="S184" i="5"/>
  <c r="S188" i="5"/>
  <c r="S276" i="5"/>
  <c r="S207" i="5"/>
  <c r="S297" i="5"/>
  <c r="S164" i="5"/>
  <c r="S228" i="5"/>
  <c r="S272" i="5"/>
  <c r="S194" i="5"/>
  <c r="S192" i="5"/>
  <c r="S151" i="5"/>
  <c r="S292" i="5"/>
  <c r="S211" i="5"/>
  <c r="S91" i="5"/>
  <c r="S71" i="5"/>
  <c r="S316" i="5"/>
  <c r="S261" i="5"/>
  <c r="S252" i="5"/>
  <c r="S120" i="5"/>
  <c r="S87" i="5"/>
  <c r="S308" i="5"/>
  <c r="S136" i="5"/>
  <c r="S102" i="5"/>
  <c r="S268" i="5"/>
  <c r="S324" i="5"/>
  <c r="S232" i="5"/>
  <c r="S251" i="5"/>
  <c r="C34" i="6" l="1"/>
  <c r="D34" i="6"/>
  <c r="D31" i="6"/>
  <c r="C30" i="6"/>
  <c r="D30" i="6"/>
  <c r="C32" i="6"/>
  <c r="D32" i="6"/>
  <c r="R16" i="5"/>
  <c r="F16" i="5"/>
  <c r="F10" i="5"/>
  <c r="R10" i="5"/>
  <c r="R13" i="5"/>
  <c r="F13" i="5"/>
  <c r="R7" i="5"/>
  <c r="F7" i="5"/>
  <c r="R17" i="5"/>
  <c r="F17" i="5"/>
  <c r="G7" i="5"/>
  <c r="G66" i="6"/>
  <c r="H66" i="6" s="1"/>
  <c r="C66" i="6" s="1"/>
  <c r="G67" i="6"/>
  <c r="H67" i="6" s="1"/>
  <c r="D67" i="6" s="1"/>
  <c r="G65" i="6"/>
  <c r="H65" i="6" s="1"/>
  <c r="C65" i="6" s="1"/>
  <c r="R12" i="5"/>
  <c r="F12" i="5"/>
  <c r="R9" i="5"/>
  <c r="F9" i="5"/>
  <c r="R8" i="5"/>
  <c r="F8" i="5"/>
  <c r="G9" i="5"/>
  <c r="G10" i="5"/>
  <c r="G8" i="5"/>
  <c r="F15" i="5"/>
  <c r="R15" i="5"/>
  <c r="R11" i="5"/>
  <c r="F11" i="5"/>
  <c r="R14" i="5"/>
  <c r="F14" i="5"/>
  <c r="C68" i="6"/>
  <c r="C49" i="6"/>
  <c r="C47" i="6"/>
  <c r="C60" i="6"/>
  <c r="D60" i="6"/>
  <c r="D58" i="6"/>
  <c r="C58" i="6"/>
  <c r="D63" i="6"/>
  <c r="C63" i="6"/>
  <c r="C62" i="6"/>
  <c r="D62" i="6"/>
  <c r="C54" i="6"/>
  <c r="D54" i="6"/>
  <c r="D57" i="6"/>
  <c r="C57" i="6"/>
  <c r="F56" i="6"/>
  <c r="H56" i="6" s="1"/>
  <c r="H55" i="6"/>
  <c r="D59" i="6"/>
  <c r="C59" i="6"/>
  <c r="T16" i="5"/>
  <c r="T12" i="5"/>
  <c r="T17" i="5"/>
  <c r="T7" i="5"/>
  <c r="T9" i="5"/>
  <c r="T15" i="5"/>
  <c r="T11" i="5"/>
  <c r="T14" i="5"/>
  <c r="T10" i="5"/>
  <c r="T13" i="5"/>
  <c r="T8" i="5"/>
  <c r="X13" i="5" l="1"/>
  <c r="X10" i="5"/>
  <c r="D65" i="6"/>
  <c r="X9" i="5"/>
  <c r="X12" i="5"/>
  <c r="X14" i="5"/>
  <c r="X17" i="5"/>
  <c r="D66" i="6"/>
  <c r="C67" i="6"/>
  <c r="X11" i="5"/>
  <c r="X15" i="5"/>
  <c r="X8" i="5"/>
  <c r="X7" i="5"/>
  <c r="G69" i="6"/>
  <c r="X16" i="5"/>
  <c r="D55" i="6"/>
  <c r="C55" i="6"/>
  <c r="D56" i="6"/>
  <c r="C56" i="6"/>
  <c r="S11" i="5"/>
  <c r="S16" i="5"/>
  <c r="S9" i="5"/>
  <c r="S7" i="5"/>
  <c r="S10" i="5"/>
  <c r="S12" i="5"/>
  <c r="S14" i="5"/>
  <c r="S13" i="5"/>
  <c r="S8" i="5"/>
  <c r="S15" i="5"/>
  <c r="S17" i="5"/>
  <c r="H69" i="6" l="1"/>
  <c r="H70" i="6" s="1"/>
  <c r="D2" i="6" s="1"/>
  <c r="C69" i="6"/>
</calcChain>
</file>

<file path=xl/comments1.xml><?xml version="1.0" encoding="utf-8"?>
<comments xmlns="http://schemas.openxmlformats.org/spreadsheetml/2006/main">
  <authors>
    <author>a64a</author>
  </authors>
  <commentList>
    <comment ref="P3" authorId="0">
      <text>
        <r>
          <rPr>
            <sz val="9"/>
            <rFont val="ＭＳ Ｐゴシック"/>
            <family val="3"/>
            <charset val="128"/>
          </rPr>
          <t>location number in language list</t>
        </r>
      </text>
    </comment>
    <comment ref="P9" authorId="0">
      <text>
        <r>
          <rPr>
            <sz val="9"/>
            <rFont val="ＭＳ Ｐゴシック"/>
            <family val="3"/>
            <charset val="128"/>
          </rPr>
          <t>list for Validation in D9</t>
        </r>
      </text>
    </comment>
    <comment ref="P26" authorId="0">
      <text>
        <r>
          <rPr>
            <sz val="9"/>
            <rFont val="ＭＳ Ｐゴシック"/>
            <family val="3"/>
            <charset val="128"/>
          </rPr>
          <t>condition for answer Q3 and later</t>
        </r>
      </text>
    </comment>
    <comment ref="Q31" authorId="0">
      <text>
        <r>
          <rPr>
            <sz val="9"/>
            <rFont val="ＭＳ Ｐゴシック"/>
            <family val="3"/>
            <charset val="128"/>
          </rPr>
          <t>condition for answer</t>
        </r>
      </text>
    </comment>
    <comment ref="P32" authorId="0">
      <text>
        <r>
          <rPr>
            <sz val="9"/>
            <rFont val="ＭＳ Ｐゴシック"/>
            <family val="3"/>
            <charset val="128"/>
          </rPr>
          <t>condition for answer Q3 and later</t>
        </r>
      </text>
    </comment>
    <comment ref="Q37" authorId="0">
      <text>
        <r>
          <rPr>
            <sz val="9"/>
            <rFont val="ＭＳ Ｐゴシック"/>
            <family val="3"/>
            <charset val="128"/>
          </rPr>
          <t>condition for answer</t>
        </r>
      </text>
    </comment>
    <comment ref="Q43" author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<sst xmlns="http://schemas.openxmlformats.org/spreadsheetml/2006/main" count="25257" uniqueCount="16355">
  <si>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</si>
  <si>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</si>
  <si>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</si>
  <si>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</si>
  <si>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</si>
  <si>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</si>
  <si>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</si>
  <si>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</si>
  <si>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</si>
  <si>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</si>
  <si>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</si>
  <si>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</si>
  <si>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</si>
  <si>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</si>
  <si>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</si>
  <si>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</si>
  <si>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</si>
  <si>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</si>
  <si>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</si>
  <si>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</si>
  <si>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</si>
  <si>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</si>
  <si>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</si>
  <si>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</si>
  <si>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</si>
  <si>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</si>
  <si>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</si>
  <si>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</si>
  <si>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</si>
  <si>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</si>
  <si>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</si>
  <si>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</si>
  <si>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</si>
  <si>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</si>
  <si>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</si>
  <si>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</si>
  <si>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</si>
  <si>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</si>
  <si>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</si>
  <si>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</si>
  <si>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</si>
  <si>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</si>
  <si>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</si>
  <si>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</si>
  <si>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</si>
  <si>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</si>
  <si>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</si>
  <si>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</si>
  <si>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</si>
  <si>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</si>
  <si>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</si>
  <si>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</si>
  <si>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</si>
  <si>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</si>
  <si>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</si>
  <si>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</si>
  <si>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</si>
  <si>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</si>
  <si>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</si>
  <si>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</si>
  <si>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</si>
  <si>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</si>
  <si>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</si>
  <si>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</si>
  <si>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</si>
  <si>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</si>
  <si>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</si>
  <si>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</si>
  <si>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</si>
  <si>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</si>
  <si>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</si>
  <si>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</si>
  <si>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</si>
  <si>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</si>
  <si>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</si>
  <si>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</si>
  <si>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</si>
  <si>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</si>
  <si>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</si>
  <si>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</si>
  <si>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</si>
  <si>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</si>
  <si>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</si>
  <si>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</si>
  <si>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</si>
  <si>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</si>
  <si>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</si>
  <si>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</si>
  <si>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</si>
  <si>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</si>
  <si>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</si>
  <si>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</si>
  <si>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</si>
  <si>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</si>
  <si>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</si>
  <si>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</si>
  <si>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</si>
  <si>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</si>
  <si>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</si>
  <si>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</si>
  <si>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</si>
  <si>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</si>
  <si>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</si>
  <si>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</si>
  <si>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</si>
  <si>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</si>
  <si>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</si>
  <si>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</si>
  <si>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</si>
  <si>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</si>
  <si>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</si>
  <si>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</si>
  <si>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</si>
  <si>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</si>
  <si>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</si>
  <si>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</si>
  <si>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</si>
  <si>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</si>
  <si>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</si>
  <si>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</si>
  <si>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</si>
  <si>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</si>
  <si>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</si>
  <si>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</si>
  <si>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</si>
  <si>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</si>
  <si>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</si>
  <si>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</si>
  <si>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</si>
  <si>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</si>
  <si>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</si>
  <si>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</si>
  <si>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</si>
  <si>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</si>
  <si>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</si>
  <si>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</si>
  <si>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</si>
  <si>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</si>
  <si>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</si>
  <si>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</si>
  <si>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</si>
  <si>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</si>
  <si>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</si>
  <si>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</si>
  <si>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</si>
  <si>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</si>
  <si>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</si>
  <si>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</si>
  <si>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</si>
  <si>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</si>
  <si>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</si>
  <si>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</si>
  <si>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</si>
  <si>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</si>
  <si>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</si>
  <si>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</si>
  <si>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</si>
  <si>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</si>
  <si>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</si>
  <si>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</si>
  <si>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</si>
  <si>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</si>
  <si>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</si>
  <si>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</si>
  <si>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</si>
  <si>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</si>
  <si>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</si>
  <si>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</si>
  <si>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</si>
  <si>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</si>
  <si>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</si>
  <si>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</si>
  <si>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</si>
  <si>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</si>
  <si>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</si>
  <si>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</si>
  <si>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</si>
  <si>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</si>
  <si>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</si>
  <si>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</si>
  <si>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</si>
  <si>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</si>
  <si>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</si>
  <si>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</si>
  <si>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</si>
  <si>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</si>
  <si>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</si>
  <si>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</si>
  <si>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</si>
  <si>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</si>
  <si>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</si>
  <si>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</si>
  <si>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</si>
  <si>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</si>
  <si>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</si>
  <si>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</si>
  <si>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</si>
  <si>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</si>
  <si>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</si>
  <si>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</si>
  <si>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</si>
  <si>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</si>
  <si>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</si>
  <si>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</si>
  <si>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</si>
  <si>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</si>
  <si>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</si>
  <si>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</si>
  <si>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</si>
  <si>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</si>
  <si>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</si>
  <si>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</si>
  <si>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</si>
  <si>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</si>
  <si>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</si>
  <si>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</si>
  <si>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</si>
  <si>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</si>
  <si>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</si>
  <si>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</si>
  <si>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</si>
  <si>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</si>
  <si>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</si>
  <si>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</si>
  <si>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</si>
  <si>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</si>
  <si>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</si>
  <si>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</si>
  <si>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</si>
  <si>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</si>
  <si>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</si>
  <si>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</si>
  <si>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</si>
  <si>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</si>
  <si>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</si>
  <si>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</si>
  <si>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</si>
  <si>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</si>
  <si>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</si>
  <si>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</si>
  <si>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</si>
  <si>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</si>
  <si>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</si>
  <si>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</si>
  <si>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</si>
  <si>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</si>
  <si>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</si>
  <si>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</si>
  <si>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</si>
  <si>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</si>
  <si>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</si>
  <si>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</si>
  <si>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</si>
  <si>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</si>
  <si>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</si>
  <si>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</si>
  <si>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</si>
  <si>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</si>
  <si>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</si>
  <si>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</si>
  <si>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</si>
  <si>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</si>
  <si>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</si>
  <si>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</si>
  <si>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</si>
  <si>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</si>
  <si>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</si>
  <si>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</si>
  <si>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</si>
  <si>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</si>
  <si>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</si>
  <si>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</si>
  <si>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</si>
  <si>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</si>
  <si>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</si>
  <si>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</si>
  <si>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</si>
  <si>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</si>
  <si>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</si>
  <si>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</si>
  <si>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</si>
  <si>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</si>
  <si>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</si>
  <si>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</si>
  <si>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</si>
  <si>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</si>
  <si>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</si>
  <si>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</si>
  <si>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</si>
  <si>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</si>
  <si>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</si>
  <si>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</si>
  <si>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</si>
  <si>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</si>
  <si>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</si>
  <si>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</si>
  <si>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</si>
  <si>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</si>
  <si>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</si>
  <si>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</si>
  <si>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</si>
  <si>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</si>
  <si>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</si>
  <si>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</si>
  <si>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</si>
  <si>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</si>
  <si>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</si>
  <si>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</si>
  <si>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</si>
  <si>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</si>
  <si>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</si>
  <si>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</si>
  <si>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</si>
  <si>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</si>
  <si>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</si>
  <si>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</si>
  <si>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</si>
  <si>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</si>
  <si>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</si>
  <si>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</si>
  <si>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</si>
  <si>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</si>
  <si>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</si>
  <si>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</si>
  <si>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</si>
  <si>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</si>
  <si>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</si>
  <si>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</si>
  <si>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</si>
  <si>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</si>
  <si>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</si>
  <si>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</si>
  <si>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</si>
  <si>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</si>
  <si>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</si>
  <si>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</si>
  <si>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</si>
  <si>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</si>
  <si>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</si>
  <si>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</si>
  <si>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</si>
  <si>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</si>
  <si>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</si>
  <si>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</si>
  <si>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</si>
  <si>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</si>
  <si>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</si>
  <si>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</si>
  <si>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</si>
  <si>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</si>
  <si>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</si>
  <si>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</si>
  <si>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</si>
  <si>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</si>
  <si>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</si>
  <si>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</si>
  <si>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</si>
  <si>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</si>
  <si>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</si>
  <si>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</si>
  <si>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</si>
  <si>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</si>
  <si>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</si>
  <si>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</si>
  <si>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</si>
  <si>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</si>
  <si>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</si>
  <si>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</si>
  <si>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</si>
  <si>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</si>
  <si>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</si>
  <si>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</si>
  <si>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</si>
  <si>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</si>
  <si>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</si>
  <si>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</si>
  <si>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</si>
  <si>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</si>
  <si>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</si>
  <si>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</si>
  <si>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</si>
  <si>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</si>
  <si>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</si>
  <si>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</si>
  <si>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</si>
  <si>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</si>
  <si>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</si>
  <si>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</si>
  <si>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</si>
  <si>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</si>
  <si>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</si>
  <si>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</si>
  <si>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</si>
  <si>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</si>
  <si>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</si>
  <si>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</si>
  <si>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</si>
  <si>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</si>
  <si>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</si>
  <si>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</si>
  <si>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</si>
  <si>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</si>
  <si>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</si>
  <si>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</si>
  <si>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</si>
  <si>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</si>
  <si>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</si>
  <si>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</si>
  <si>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</si>
  <si>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</si>
  <si>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</si>
  <si>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</si>
  <si>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</si>
  <si>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</si>
  <si>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</si>
  <si>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</si>
  <si>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</si>
  <si>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</si>
  <si>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</si>
  <si>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</si>
  <si>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</si>
  <si>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</si>
  <si>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</si>
  <si>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</si>
  <si>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</si>
  <si>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</si>
  <si>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</si>
  <si>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</si>
  <si>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</si>
  <si>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</si>
  <si>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</si>
  <si>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</si>
  <si>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</si>
  <si>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</si>
  <si>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</si>
  <si>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</si>
  <si>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</si>
  <si>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</si>
  <si>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</si>
  <si>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</si>
  <si>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</si>
  <si>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</si>
  <si>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</si>
  <si>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</si>
  <si>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</si>
  <si>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</si>
  <si>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</si>
  <si>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</si>
  <si>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</si>
  <si>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</si>
  <si>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</si>
  <si>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</si>
  <si>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</si>
  <si>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</si>
  <si>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</si>
  <si>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</si>
  <si>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</si>
  <si>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</si>
  <si>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</si>
  <si>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</si>
  <si>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</si>
  <si>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</si>
  <si>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</si>
  <si>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</si>
  <si>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</si>
  <si>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</si>
  <si>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</si>
  <si>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</si>
  <si>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</si>
  <si>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</si>
  <si>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</si>
  <si>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</si>
  <si>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</si>
  <si>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</si>
  <si>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</si>
  <si>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</si>
  <si>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</si>
  <si>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</si>
  <si>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</si>
  <si>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</si>
  <si>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</si>
  <si>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</si>
  <si>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</si>
  <si>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</si>
  <si>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</si>
  <si>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</si>
  <si>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</si>
  <si>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</si>
  <si>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</si>
  <si>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</si>
  <si>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</si>
  <si>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</si>
  <si>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</si>
  <si>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</si>
  <si>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</si>
  <si>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</si>
  <si>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</si>
  <si>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</si>
  <si>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</si>
  <si>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</si>
  <si>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</si>
  <si>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</si>
  <si>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</si>
  <si>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</si>
  <si>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</si>
  <si>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</si>
  <si>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</si>
  <si>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</si>
  <si>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</si>
  <si>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</si>
  <si>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</si>
  <si>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</si>
  <si>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</si>
  <si>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</si>
  <si>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</si>
  <si>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</si>
  <si>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</si>
  <si>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</si>
  <si>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</si>
  <si>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</si>
  <si>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</si>
  <si>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</si>
  <si>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</si>
  <si>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</si>
  <si>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</si>
  <si>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</si>
  <si>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</si>
  <si>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</si>
  <si>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</si>
  <si>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</si>
  <si>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</si>
  <si>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</si>
  <si>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</si>
  <si>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</si>
  <si>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</si>
  <si>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</si>
  <si>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</si>
  <si>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</si>
  <si>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</si>
  <si>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</si>
  <si>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</si>
  <si>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</si>
  <si>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</si>
  <si>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</si>
  <si>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</si>
  <si>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</si>
  <si>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</si>
  <si>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</si>
  <si>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</si>
  <si>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</si>
  <si>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</si>
  <si>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</si>
  <si>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</si>
  <si>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</si>
  <si>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</si>
  <si>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</si>
  <si>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</si>
  <si>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</si>
  <si>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</si>
  <si>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</si>
  <si>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</si>
  <si>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</si>
  <si>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</si>
  <si>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</si>
  <si>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</si>
  <si>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</si>
  <si>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</si>
  <si>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</si>
  <si>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</si>
  <si>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</si>
  <si>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</si>
  <si>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</si>
  <si>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</si>
  <si>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</si>
  <si>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</si>
  <si>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</si>
  <si>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</si>
  <si>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</si>
  <si>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</si>
  <si>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</si>
  <si>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</si>
  <si>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</si>
  <si>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</si>
  <si>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</si>
  <si>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</si>
  <si>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</si>
  <si>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</si>
  <si>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</si>
  <si>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</si>
  <si>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</si>
  <si>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</si>
  <si>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</si>
  <si>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</si>
  <si>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</si>
  <si>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</si>
  <si>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</si>
  <si>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</si>
  <si>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</si>
  <si>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</si>
  <si>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</si>
  <si>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</si>
  <si>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</si>
  <si>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</si>
  <si>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</si>
  <si>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</si>
  <si>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</si>
  <si>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</si>
  <si>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</si>
  <si>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</si>
  <si>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</si>
  <si>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</si>
  <si>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</si>
  <si>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</si>
  <si>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</si>
  <si>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</si>
  <si>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</si>
  <si>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</si>
  <si>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</si>
  <si>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</si>
  <si>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</si>
  <si>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</si>
  <si>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</si>
  <si>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</si>
  <si>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</si>
  <si>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</si>
  <si>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</si>
  <si>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</si>
  <si>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</si>
  <si>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</si>
  <si>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</si>
  <si>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</si>
  <si>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</si>
  <si>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</si>
  <si>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</si>
  <si>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</si>
  <si>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</si>
  <si>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</si>
  <si>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</si>
  <si>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</si>
  <si>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</si>
  <si>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</si>
  <si>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</si>
  <si>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</si>
  <si>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</si>
  <si>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</si>
  <si>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</si>
  <si>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</si>
  <si>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</si>
  <si>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</si>
  <si>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</si>
  <si>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</si>
  <si>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</si>
  <si>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</si>
  <si>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</si>
  <si>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</si>
  <si>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</si>
  <si>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</si>
  <si>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</si>
  <si>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</si>
  <si>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</si>
  <si>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</si>
  <si>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</si>
  <si>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</si>
  <si>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</si>
  <si>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</si>
  <si>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</si>
  <si>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</si>
  <si>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</si>
  <si>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</si>
  <si>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</si>
  <si>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</si>
  <si>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</si>
  <si>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</si>
  <si>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</si>
  <si>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</si>
  <si>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</si>
  <si>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</si>
  <si>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</si>
  <si>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</si>
  <si>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</si>
  <si>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</si>
  <si>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</si>
  <si>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</si>
  <si>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</si>
  <si>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</si>
  <si>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</si>
  <si>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</si>
  <si>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</si>
  <si>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</si>
  <si>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</si>
  <si>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</si>
  <si>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</si>
  <si>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</si>
  <si>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</si>
  <si>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</si>
  <si>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</si>
  <si>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</si>
  <si>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</si>
  <si>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</si>
  <si>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</si>
  <si>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</si>
  <si>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</si>
  <si>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</si>
  <si>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</si>
  <si>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</si>
  <si>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</si>
  <si>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</si>
  <si>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</si>
  <si>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</si>
  <si>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</si>
  <si>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</si>
  <si>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</si>
  <si>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</si>
  <si>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</si>
  <si>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</si>
  <si>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</si>
  <si>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</si>
  <si>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</si>
  <si>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</si>
  <si>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</si>
  <si>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</si>
  <si>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</si>
  <si>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</si>
  <si>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</si>
  <si>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</si>
  <si>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</si>
  <si>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</si>
  <si>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</si>
  <si>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</si>
  <si>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</si>
  <si>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</si>
  <si>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</si>
  <si>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</si>
  <si>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</si>
  <si>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</si>
  <si>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</si>
  <si>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</si>
  <si>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</si>
  <si>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</si>
  <si>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</si>
  <si>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</si>
  <si>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</si>
  <si>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</si>
  <si>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</si>
  <si>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</si>
  <si>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</si>
  <si>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</si>
  <si>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</si>
  <si>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</si>
  <si>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</si>
  <si>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</si>
  <si>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</si>
  <si>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</si>
  <si>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</si>
  <si>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</si>
  <si>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</si>
  <si>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</si>
  <si>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</si>
  <si>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</si>
  <si>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</si>
  <si>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</si>
  <si>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</si>
  <si>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</si>
  <si>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</si>
  <si>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</si>
  <si>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</si>
  <si>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</si>
  <si>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</si>
  <si>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</si>
  <si>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</si>
  <si>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</si>
  <si>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</si>
  <si>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</si>
  <si>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</si>
  <si>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</si>
  <si>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</si>
  <si>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</si>
  <si>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</si>
  <si>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</si>
  <si>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</si>
  <si>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</si>
  <si>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</si>
  <si>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</si>
  <si>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</si>
  <si>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</si>
  <si>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</si>
  <si>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</si>
  <si>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</si>
  <si>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</si>
  <si>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</si>
  <si>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</si>
  <si>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</si>
  <si>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</si>
  <si>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</si>
  <si>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</si>
  <si>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</si>
  <si>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</si>
  <si>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</si>
  <si>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</si>
  <si>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</si>
  <si>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</si>
  <si>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</si>
  <si>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</si>
  <si>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</si>
  <si>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</si>
  <si>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</si>
  <si>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</si>
  <si>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</si>
  <si>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</si>
  <si>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</si>
  <si>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</si>
  <si>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</si>
  <si>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</si>
  <si>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</si>
  <si>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</si>
  <si>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</si>
  <si>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</si>
  <si>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</si>
  <si>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</si>
  <si>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</si>
  <si>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</si>
  <si>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</si>
  <si>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</si>
  <si>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</si>
  <si>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</si>
  <si>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</si>
  <si>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</si>
  <si>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</si>
  <si>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</si>
  <si>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</si>
  <si>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</si>
  <si>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</si>
  <si>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</si>
  <si>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</si>
  <si>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</si>
  <si>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</si>
  <si>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</si>
  <si>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</si>
  <si>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</si>
  <si>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</si>
  <si>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</si>
  <si>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</si>
  <si>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</si>
  <si>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</si>
  <si>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</si>
  <si>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</si>
  <si>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</si>
  <si>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</si>
  <si>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</si>
  <si>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</si>
  <si>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</si>
  <si>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</si>
  <si>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</si>
  <si>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</si>
  <si>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</si>
  <si>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</si>
  <si>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</si>
  <si>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</si>
  <si>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</si>
  <si>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</si>
  <si>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</si>
  <si>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</si>
  <si>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</si>
  <si>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</si>
  <si>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</si>
  <si>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</si>
  <si>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</si>
  <si>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</si>
  <si>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</si>
  <si>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</si>
  <si>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</si>
  <si>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</si>
  <si>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</si>
  <si>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</si>
  <si>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</si>
  <si>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</si>
  <si>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</si>
  <si>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</si>
  <si>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</si>
  <si>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</si>
  <si>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</si>
  <si>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</si>
  <si>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</si>
  <si>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</si>
  <si>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</si>
  <si>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</si>
  <si>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</si>
  <si>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</si>
  <si>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</si>
  <si>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</si>
  <si>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</si>
  <si>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</si>
  <si>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</si>
  <si>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</si>
  <si>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</si>
  <si>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</si>
  <si>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</si>
  <si>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</si>
  <si>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</si>
  <si>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</si>
  <si>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</si>
  <si>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</si>
  <si>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</si>
  <si>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</si>
  <si>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</si>
  <si>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</si>
  <si>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</si>
  <si>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</si>
  <si>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</si>
  <si>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</si>
  <si>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</si>
  <si>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</si>
  <si>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</si>
  <si>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</si>
  <si>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</si>
  <si>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</si>
  <si>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</si>
  <si>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</si>
  <si>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</si>
  <si>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</si>
  <si>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</si>
  <si>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</si>
  <si>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</si>
  <si>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</si>
  <si>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</si>
  <si>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</si>
  <si>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</si>
  <si>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</si>
  <si>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</si>
  <si>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</si>
  <si>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</si>
  <si>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</si>
  <si>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</si>
  <si>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</si>
  <si>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</si>
  <si>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</si>
  <si>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</si>
  <si>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</si>
  <si>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</si>
  <si>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</si>
  <si>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</si>
  <si>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</si>
  <si>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</si>
  <si>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</si>
  <si>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</si>
  <si>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</si>
  <si>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</si>
  <si>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</si>
  <si>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</si>
  <si>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</si>
  <si>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</si>
  <si>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</si>
  <si>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</si>
  <si>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</si>
  <si>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</si>
  <si>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</si>
  <si>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</si>
  <si>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</si>
  <si>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</si>
  <si>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</si>
  <si>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</si>
  <si>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</si>
  <si>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</si>
  <si>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</si>
  <si>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</si>
  <si>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</si>
  <si>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</si>
  <si>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</si>
  <si>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</si>
  <si>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</si>
  <si>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</si>
  <si>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</si>
  <si>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</si>
  <si>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</si>
  <si>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</si>
  <si>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</si>
  <si>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</si>
  <si>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</si>
  <si>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</si>
  <si>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</si>
  <si>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</si>
  <si>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</si>
  <si>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</si>
  <si>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</si>
  <si>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</si>
  <si>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</si>
  <si>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</si>
  <si>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</si>
  <si>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</si>
  <si>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</si>
  <si>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</si>
  <si>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</si>
  <si>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</si>
  <si>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</si>
  <si>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</si>
  <si>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</si>
  <si>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</si>
  <si>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</si>
  <si>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</si>
  <si>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</si>
  <si>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</si>
  <si>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</si>
  <si>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</si>
  <si>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</si>
  <si>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</si>
  <si>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</si>
  <si>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</si>
  <si>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</si>
  <si>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</si>
  <si>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</si>
  <si>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</si>
  <si>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</si>
  <si>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</si>
  <si>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</si>
  <si>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</si>
  <si>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</si>
  <si>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</si>
  <si>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</si>
  <si>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</si>
  <si>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</si>
  <si>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</si>
  <si>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</si>
  <si>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</si>
  <si>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</si>
  <si>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</si>
  <si>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</si>
  <si>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</si>
  <si>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</si>
  <si>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</si>
  <si>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</si>
  <si>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</si>
  <si>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</si>
  <si>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</si>
  <si>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</si>
  <si>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</si>
  <si>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</si>
  <si>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</si>
  <si>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</si>
  <si>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</si>
  <si>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</si>
  <si>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</si>
  <si>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</si>
  <si>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</si>
  <si>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</si>
  <si>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</si>
  <si>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</si>
  <si>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</si>
  <si>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</si>
  <si>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</si>
  <si>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</si>
  <si>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</si>
  <si>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</si>
  <si>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</si>
  <si>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</si>
  <si>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</si>
  <si>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</si>
  <si>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</si>
  <si>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</si>
  <si>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</si>
  <si>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</si>
  <si>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</si>
  <si>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</si>
  <si>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</si>
  <si>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</si>
  <si>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</si>
  <si>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</si>
  <si>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</si>
  <si>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</si>
  <si>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</si>
  <si>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</si>
  <si>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</si>
  <si>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</si>
  <si>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</si>
  <si>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</si>
  <si>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</si>
  <si>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</si>
  <si>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</si>
  <si>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</si>
  <si>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</si>
  <si>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</si>
  <si>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</si>
  <si>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</si>
  <si>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</si>
  <si>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</si>
  <si>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</si>
  <si>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</si>
  <si>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</si>
  <si>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</si>
  <si>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</si>
  <si>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</si>
  <si>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</si>
  <si>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</si>
  <si>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</si>
  <si>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</si>
  <si>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</si>
  <si>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</si>
  <si>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</si>
  <si>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</si>
  <si>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</si>
  <si>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</si>
  <si>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</si>
  <si>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</si>
  <si>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</si>
  <si>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</si>
  <si>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</si>
  <si>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</si>
  <si>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</si>
  <si>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</si>
  <si>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</si>
  <si>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</si>
  <si>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</si>
  <si>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</si>
  <si>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</si>
  <si>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</si>
  <si>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</si>
  <si>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</si>
  <si>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</si>
  <si>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</si>
  <si>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</si>
  <si>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</si>
  <si>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</si>
  <si>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</si>
  <si>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</si>
  <si>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</si>
  <si>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</si>
  <si>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</si>
  <si>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</si>
  <si>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</si>
  <si>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</si>
  <si>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</si>
  <si>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</si>
  <si>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</si>
  <si>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</si>
  <si>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</si>
  <si>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</si>
  <si>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</si>
  <si>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</si>
  <si>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</si>
  <si>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</si>
  <si>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</si>
  <si>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</si>
  <si>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</si>
  <si>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</si>
  <si>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</si>
  <si>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</si>
  <si>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</si>
  <si>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</si>
  <si>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</si>
  <si>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</si>
  <si>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</si>
  <si>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</si>
  <si>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</si>
  <si>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</si>
  <si>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</si>
  <si>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</si>
  <si>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</si>
  <si>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</si>
  <si>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</si>
  <si>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</si>
  <si>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</si>
  <si>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</si>
  <si>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</si>
  <si>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</si>
  <si>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</si>
  <si>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</si>
  <si>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</si>
  <si>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</si>
  <si>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</si>
  <si>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</si>
  <si>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</si>
  <si>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</si>
  <si>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</si>
  <si>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</si>
  <si>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</si>
  <si>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</si>
  <si>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</si>
  <si>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</si>
  <si>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</si>
  <si>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</si>
  <si>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</si>
  <si>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</si>
  <si>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</si>
  <si>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</si>
  <si>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</si>
  <si>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</si>
  <si>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</si>
  <si>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</si>
  <si>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</si>
  <si>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</si>
  <si>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</si>
  <si>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</si>
  <si>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</si>
  <si>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</si>
  <si>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</si>
  <si>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</si>
  <si>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</si>
  <si>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</si>
  <si>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</si>
  <si>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</si>
  <si>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</si>
  <si>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</si>
  <si>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</si>
  <si>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</si>
  <si>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</si>
  <si>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</si>
  <si>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</si>
  <si>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</si>
  <si>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</si>
  <si>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</si>
  <si>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</si>
  <si>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</si>
  <si>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</si>
  <si>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</si>
  <si>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</si>
  <si>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</si>
  <si>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</si>
  <si>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</si>
  <si>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</si>
  <si>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</si>
  <si>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</si>
  <si>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</si>
  <si>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</si>
  <si>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</si>
  <si>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</si>
  <si>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</si>
  <si>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</si>
  <si>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</si>
  <si>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</si>
  <si>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</si>
  <si>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</si>
  <si>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</si>
  <si>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</si>
  <si>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</si>
  <si>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</si>
  <si>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</si>
  <si>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</si>
  <si>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</si>
  <si>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</si>
  <si>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</si>
  <si>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</si>
  <si>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</si>
  <si>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</si>
  <si>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</si>
  <si>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</si>
  <si>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</si>
  <si>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</si>
  <si>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</si>
  <si>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</si>
  <si>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</si>
  <si>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</si>
  <si>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</si>
  <si>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</si>
  <si>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</si>
  <si>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</si>
  <si>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</si>
  <si>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</si>
  <si>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</si>
  <si>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</si>
  <si>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</si>
  <si>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</si>
  <si>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</si>
  <si>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</si>
  <si>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</si>
  <si>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</si>
  <si>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</si>
  <si>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</si>
  <si>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</si>
  <si>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</si>
  <si>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</si>
  <si>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</si>
  <si>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</si>
  <si>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</si>
  <si>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</si>
  <si>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</si>
  <si>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</si>
  <si>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</si>
  <si>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</si>
  <si>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</si>
  <si>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</si>
  <si>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</si>
  <si>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</si>
  <si>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</si>
  <si>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</si>
  <si>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</si>
  <si>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</si>
  <si>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</si>
  <si>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</si>
  <si>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</si>
  <si>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</si>
  <si>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</si>
  <si>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</si>
  <si>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</si>
  <si>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</si>
  <si>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</si>
  <si>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</si>
  <si>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</si>
  <si>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</si>
  <si>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</si>
  <si>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</si>
  <si>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</si>
  <si>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</si>
  <si>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</si>
  <si>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</si>
  <si>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</si>
  <si>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</si>
  <si>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</si>
  <si>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</si>
  <si>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</si>
  <si>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</si>
  <si>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</si>
  <si>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</si>
  <si>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</si>
  <si>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</si>
  <si>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</si>
  <si>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</si>
  <si>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</si>
  <si>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</si>
  <si>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</si>
  <si>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</si>
  <si>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</si>
  <si>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</si>
  <si>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</si>
  <si>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</si>
  <si>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</si>
  <si>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</si>
  <si>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</si>
  <si>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</si>
  <si>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</si>
  <si>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</si>
  <si>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</si>
  <si>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</si>
  <si>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</si>
  <si>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</si>
  <si>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</si>
  <si>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</si>
  <si>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</si>
  <si>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</si>
  <si>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</si>
  <si>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</si>
  <si>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</si>
  <si>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</si>
  <si>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</si>
  <si>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</si>
  <si>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</si>
  <si>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</si>
  <si>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</si>
  <si>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</si>
  <si>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</si>
  <si>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</si>
  <si>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</si>
  <si>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</si>
  <si>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</si>
  <si>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</si>
  <si>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</si>
  <si>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</si>
  <si>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</si>
  <si>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</si>
  <si>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</si>
  <si>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</si>
  <si>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</si>
  <si>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</si>
  <si>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</si>
  <si>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</si>
  <si>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</si>
  <si>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</si>
  <si>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</si>
  <si>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</si>
  <si>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</si>
  <si>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</si>
  <si>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</si>
  <si>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</si>
  <si>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</si>
  <si>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</si>
  <si>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</si>
  <si>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</si>
  <si>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</si>
  <si>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</si>
  <si>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</si>
  <si>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</si>
  <si>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</si>
  <si>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</si>
  <si>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</si>
  <si>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</si>
  <si>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</si>
  <si>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</si>
  <si>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</si>
  <si>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</si>
  <si>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</si>
  <si>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</si>
  <si>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</si>
  <si>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</si>
  <si>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</si>
  <si>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</si>
  <si>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</si>
  <si>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</si>
  <si>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</si>
  <si>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</si>
  <si>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</si>
  <si>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</si>
  <si>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</si>
  <si>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</si>
  <si>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</si>
  <si>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</si>
  <si>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</si>
  <si>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</si>
  <si>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</si>
  <si>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</si>
  <si>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</si>
  <si>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</si>
  <si>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</si>
  <si>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</si>
  <si>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</si>
  <si>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</si>
  <si>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</si>
  <si>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</si>
  <si>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</si>
  <si>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</si>
  <si>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</si>
  <si>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</si>
  <si>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</si>
  <si>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</si>
  <si>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</si>
  <si>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</si>
  <si>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</si>
  <si>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</si>
  <si>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</si>
  <si>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</si>
  <si>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</si>
  <si>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</si>
  <si>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</si>
  <si>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</si>
  <si>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</si>
  <si>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</si>
  <si>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</si>
  <si>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</si>
  <si>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</si>
  <si>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</si>
  <si>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</si>
  <si>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</si>
  <si>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</si>
  <si>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</si>
  <si>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</si>
  <si>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</si>
  <si>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</si>
  <si>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</si>
  <si>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</si>
  <si>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</si>
  <si>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</si>
  <si>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</si>
  <si>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</si>
  <si>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</si>
  <si>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</si>
  <si>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</si>
  <si>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</si>
  <si>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</si>
  <si>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</si>
  <si>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</si>
  <si>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</si>
  <si>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</si>
  <si>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</si>
  <si>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</si>
  <si>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</si>
  <si>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</si>
  <si>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</si>
  <si>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</si>
  <si>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</si>
  <si>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</si>
  <si>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</si>
  <si>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</si>
  <si>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</si>
  <si>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</si>
  <si>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</si>
  <si>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</si>
  <si>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</si>
  <si>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</si>
  <si>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</si>
  <si>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</si>
  <si>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</si>
  <si>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</si>
  <si>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</si>
  <si>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</si>
  <si>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</si>
  <si>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</si>
  <si>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</si>
  <si>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</si>
  <si>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</si>
  <si>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</si>
  <si>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</si>
  <si>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</si>
  <si>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</si>
  <si>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</si>
  <si>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</si>
  <si>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</si>
  <si>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</si>
  <si>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</si>
  <si>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</si>
  <si>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</si>
  <si>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</si>
  <si>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</si>
  <si>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</si>
  <si>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</si>
  <si>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</si>
  <si>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</si>
  <si>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</si>
  <si>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</si>
  <si>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</si>
  <si>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</si>
  <si>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</si>
  <si>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</si>
  <si>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</si>
  <si>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</si>
  <si>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</si>
  <si>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</si>
  <si>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</si>
  <si>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</si>
  <si>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</si>
  <si>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</si>
  <si>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</si>
  <si>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</si>
  <si>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</si>
  <si>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</si>
  <si>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</si>
  <si>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</si>
  <si>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</si>
  <si>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</si>
  <si>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</si>
  <si>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</si>
  <si>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</si>
  <si>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</si>
  <si>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</si>
  <si>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</si>
  <si>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</si>
  <si>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</si>
  <si>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</si>
  <si>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</si>
  <si>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</si>
  <si>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</si>
  <si>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</si>
  <si>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</si>
  <si>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</si>
  <si>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</si>
  <si>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</si>
  <si>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</si>
  <si>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</si>
  <si>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</si>
  <si>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</si>
  <si>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</si>
  <si>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</si>
  <si>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</si>
  <si>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</si>
  <si>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</si>
  <si>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</si>
  <si>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</si>
  <si>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</si>
  <si>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</si>
  <si>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</si>
  <si>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</si>
  <si>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</si>
  <si>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</si>
  <si>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</si>
  <si>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</si>
  <si>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</si>
  <si>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</si>
  <si>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</si>
  <si>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</si>
  <si>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</si>
  <si>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</si>
  <si>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</si>
  <si>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</si>
  <si>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</si>
  <si>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</si>
  <si>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</si>
  <si>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</si>
  <si>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</si>
  <si>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</si>
  <si>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</si>
  <si>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</si>
  <si>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</si>
  <si>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</si>
  <si>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</si>
  <si>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</si>
  <si>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</si>
  <si>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</si>
  <si>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</si>
  <si>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</si>
  <si>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</si>
  <si>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</si>
  <si>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</si>
  <si>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</si>
  <si>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</si>
  <si>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</si>
  <si>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</si>
  <si>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</si>
  <si>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</si>
  <si>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</si>
  <si>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</si>
  <si>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</si>
  <si>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</si>
  <si>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</si>
  <si>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</si>
  <si>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</si>
  <si>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</si>
  <si>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</si>
  <si>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</si>
  <si>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</si>
  <si>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</si>
  <si>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</si>
  <si>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</si>
  <si>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</si>
  <si>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</si>
  <si>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</si>
  <si>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</si>
  <si>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</si>
  <si>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</si>
  <si>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</si>
  <si>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</si>
  <si>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</si>
  <si>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</si>
  <si>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</si>
  <si>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</si>
  <si>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</si>
  <si>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</si>
  <si>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</si>
  <si>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</si>
  <si>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</si>
  <si>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</si>
  <si>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</si>
  <si>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</si>
  <si>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</si>
  <si>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</si>
  <si>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</si>
  <si>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</si>
  <si>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</si>
  <si>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</si>
  <si>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</si>
  <si>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</si>
  <si>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</si>
  <si>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</si>
  <si>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</si>
  <si>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</si>
  <si>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</si>
  <si>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</si>
  <si>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</si>
  <si>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</si>
  <si>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</si>
  <si>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</si>
  <si>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</si>
  <si>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</si>
  <si>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</si>
  <si>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</si>
  <si>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</si>
  <si>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</si>
  <si>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</si>
  <si>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</si>
  <si>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</si>
  <si>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</si>
  <si>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</si>
  <si>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</si>
  <si>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</si>
  <si>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</si>
  <si>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</si>
  <si>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</si>
  <si>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</si>
  <si>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</si>
  <si>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</si>
  <si>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</si>
  <si>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</si>
  <si>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</si>
  <si>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</si>
  <si>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</si>
  <si>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</si>
  <si>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</si>
  <si>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</si>
  <si>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</si>
  <si>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</si>
  <si>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</si>
  <si>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</si>
  <si>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</si>
  <si>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</si>
  <si>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</si>
  <si>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</si>
  <si>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</si>
  <si>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</si>
  <si>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</si>
  <si>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</si>
  <si>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</si>
  <si>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</si>
  <si>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</si>
  <si>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</si>
  <si>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</si>
  <si>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</si>
  <si>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</si>
  <si>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</si>
  <si>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</si>
  <si>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</si>
  <si>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</si>
  <si>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</si>
  <si>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</si>
  <si>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</si>
  <si>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</si>
  <si>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</si>
  <si>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</si>
  <si>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</si>
  <si>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</si>
  <si>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</si>
  <si>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</si>
  <si>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</si>
  <si>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</si>
  <si>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</si>
  <si>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</si>
  <si>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</si>
  <si>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</si>
  <si>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</si>
  <si>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</si>
  <si>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</si>
  <si>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</si>
  <si>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</si>
  <si>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</si>
  <si>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</si>
  <si>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</si>
  <si>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</si>
  <si>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</si>
  <si>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</si>
  <si>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</si>
  <si>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</si>
  <si>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</si>
  <si>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</si>
  <si>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</si>
  <si>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</si>
  <si>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</si>
  <si>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</si>
  <si>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</si>
  <si>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</si>
  <si>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</si>
  <si>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</si>
  <si>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</si>
  <si>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</si>
  <si>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</si>
  <si>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</si>
  <si>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</si>
  <si>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</si>
  <si>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</si>
  <si>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</si>
  <si>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</si>
  <si>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</si>
  <si>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</si>
  <si>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</si>
  <si>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</si>
  <si>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</si>
  <si>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</si>
  <si>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</si>
  <si>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</si>
  <si>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</si>
  <si>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</si>
  <si>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</si>
  <si>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</si>
  <si>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</si>
  <si>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</si>
  <si>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</si>
  <si>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</si>
  <si>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</si>
  <si>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</si>
  <si>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</si>
  <si>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</si>
  <si>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</si>
  <si>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</si>
  <si>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</si>
  <si>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</si>
  <si>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</si>
  <si>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</si>
  <si>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</si>
  <si>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</si>
  <si>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</si>
  <si>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</si>
  <si>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</si>
  <si>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</si>
  <si>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</si>
  <si>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</si>
  <si>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</si>
  <si>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</si>
  <si>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</si>
  <si>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</si>
  <si>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</si>
  <si>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</si>
  <si>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</si>
  <si>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</si>
  <si>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</si>
  <si>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</si>
  <si>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</si>
  <si>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</si>
  <si>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</si>
  <si>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</si>
  <si>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</si>
  <si>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</si>
  <si>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</si>
  <si>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</si>
  <si>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</si>
  <si>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</si>
  <si>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</si>
  <si>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</si>
  <si>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</si>
  <si>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</si>
  <si>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</si>
  <si>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</si>
  <si>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</si>
  <si>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</si>
  <si>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</si>
  <si>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</si>
  <si>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</si>
  <si>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</si>
  <si>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</si>
  <si>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</si>
  <si>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</si>
  <si>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</si>
  <si>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</si>
  <si>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</si>
  <si>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</si>
  <si>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</si>
  <si>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</si>
  <si>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</si>
  <si>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</si>
  <si>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</si>
  <si>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</si>
  <si>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</si>
  <si>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</si>
  <si>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</si>
  <si>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</si>
  <si>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</si>
  <si>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</si>
  <si>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</si>
  <si>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</si>
  <si>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</si>
  <si>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</si>
  <si>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</si>
  <si>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</si>
  <si>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</si>
  <si>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</si>
  <si>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</si>
  <si>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</si>
  <si>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</si>
  <si>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</si>
  <si>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</si>
  <si>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</si>
  <si>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</si>
  <si>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</si>
  <si>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</si>
  <si>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</si>
  <si>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</si>
  <si>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</si>
  <si>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</si>
  <si>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</si>
  <si>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</si>
  <si>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</si>
  <si>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</si>
  <si>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</si>
  <si>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</si>
  <si>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</si>
  <si>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</si>
  <si>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</si>
  <si>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</si>
  <si>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</si>
  <si>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</si>
  <si>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</si>
  <si>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</si>
  <si>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</si>
  <si>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</si>
  <si>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</si>
  <si>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</si>
  <si>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</si>
  <si>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</si>
  <si>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</si>
  <si>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</si>
  <si>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</si>
  <si>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</si>
  <si>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</si>
  <si>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</si>
  <si>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</si>
  <si>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</si>
  <si>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</si>
  <si>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</si>
  <si>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</si>
  <si>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</si>
  <si>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</si>
  <si>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</si>
  <si>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</si>
  <si>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</si>
  <si>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</si>
  <si>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</si>
  <si>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</si>
  <si>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</si>
  <si>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</si>
  <si>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</si>
  <si>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</si>
  <si>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</si>
  <si>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</si>
  <si>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</si>
  <si>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</si>
  <si>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</si>
  <si>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</si>
  <si>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</si>
  <si>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</si>
  <si>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</si>
  <si>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</si>
  <si>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</si>
  <si>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</si>
  <si>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</si>
  <si>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</si>
  <si>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</si>
  <si>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</si>
  <si>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</si>
  <si>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</si>
  <si>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</si>
  <si>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</si>
  <si>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</si>
  <si>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</si>
  <si>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</si>
  <si>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</si>
  <si>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</si>
  <si>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</si>
  <si>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</si>
  <si>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</si>
  <si>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</si>
  <si>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</si>
  <si>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</si>
  <si>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</si>
  <si>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</si>
  <si>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</si>
  <si>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</si>
  <si>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</si>
  <si>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</si>
  <si>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</si>
  <si>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</si>
  <si>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</si>
  <si>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</si>
  <si>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</si>
  <si>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</si>
  <si>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</si>
  <si>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</si>
  <si>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</si>
  <si>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</si>
  <si>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</si>
  <si>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</si>
  <si>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</si>
  <si>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</si>
  <si>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</si>
  <si>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</si>
  <si>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</si>
  <si>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</si>
  <si>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</si>
  <si>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</si>
  <si>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</si>
  <si>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</si>
  <si>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</si>
  <si>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</si>
  <si>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</si>
  <si>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</si>
  <si>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</si>
  <si>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</si>
  <si>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</si>
  <si>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</si>
  <si>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</si>
  <si>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</si>
  <si>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</si>
  <si>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</si>
  <si>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</si>
  <si>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</si>
  <si>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</si>
  <si>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</si>
  <si>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</si>
  <si>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</si>
  <si>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</si>
  <si>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</si>
  <si>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</si>
  <si>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</si>
  <si>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</si>
  <si>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</si>
  <si>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</si>
  <si>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</si>
  <si>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</si>
  <si>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</si>
  <si>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</si>
  <si>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</si>
  <si>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</si>
  <si>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</si>
  <si>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</si>
  <si>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</si>
  <si>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</si>
  <si>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</si>
  <si>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</si>
  <si>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</si>
  <si>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</si>
  <si>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</si>
  <si>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</si>
  <si>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</si>
  <si>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</si>
  <si>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</si>
  <si>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</si>
  <si>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</si>
  <si>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</si>
  <si>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</si>
  <si>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</si>
  <si>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</si>
  <si>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</si>
  <si>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</si>
  <si>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</si>
  <si>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</si>
  <si>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</si>
  <si>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</si>
  <si>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</si>
  <si>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</si>
  <si>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</si>
  <si>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</si>
  <si>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</si>
  <si>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</si>
  <si>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</si>
  <si>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</si>
  <si>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</si>
  <si>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</si>
  <si>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</si>
  <si>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</si>
  <si>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</si>
  <si>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</si>
  <si>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</si>
  <si>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</si>
  <si>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</si>
  <si>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</si>
  <si>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</si>
  <si>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</si>
  <si>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</si>
  <si>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</si>
  <si>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</si>
  <si>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</si>
  <si>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</si>
  <si>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</si>
  <si>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</si>
  <si>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</si>
  <si>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</si>
  <si>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</si>
  <si>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</si>
  <si>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</si>
  <si>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</si>
  <si>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</si>
  <si>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</si>
  <si>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</si>
  <si>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</si>
  <si>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</si>
  <si>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</si>
  <si>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</si>
  <si>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</si>
  <si>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</si>
  <si>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</si>
  <si>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</si>
  <si>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</si>
  <si>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</si>
  <si>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</si>
  <si>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</si>
  <si>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</si>
  <si>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</si>
  <si>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</si>
  <si>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</si>
  <si>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</si>
  <si>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</si>
  <si>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</si>
  <si>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</si>
  <si>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</si>
  <si>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</si>
  <si>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</si>
  <si>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</si>
  <si>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</si>
  <si>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</si>
  <si>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</si>
  <si>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</si>
  <si>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</si>
  <si>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</si>
  <si>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</si>
  <si>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</si>
  <si>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</si>
  <si>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</si>
  <si>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</si>
  <si>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</si>
  <si>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</si>
  <si>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</si>
  <si>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</si>
  <si>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</si>
  <si>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</si>
  <si>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</si>
  <si>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</si>
  <si>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</si>
  <si>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</si>
  <si>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</si>
  <si>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</si>
  <si>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</si>
  <si>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</si>
  <si>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</si>
  <si>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</si>
  <si>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</si>
  <si>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</si>
  <si>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</si>
  <si>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</si>
  <si>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</si>
  <si>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</si>
  <si>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</si>
  <si>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</si>
  <si>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</si>
  <si>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</si>
  <si>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</si>
  <si>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</si>
  <si>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</si>
  <si>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</si>
  <si>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</si>
  <si>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</si>
  <si>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</si>
  <si>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</si>
  <si>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</si>
  <si>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</si>
  <si>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</si>
  <si>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</si>
  <si>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</si>
  <si>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</si>
  <si>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</si>
  <si>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</si>
  <si>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</si>
  <si>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</si>
  <si>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</si>
  <si>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</si>
  <si>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</si>
  <si>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</si>
  <si>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</si>
  <si>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</si>
  <si>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</si>
  <si>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</si>
  <si>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</si>
  <si>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</si>
  <si>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</si>
  <si>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</si>
  <si>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</si>
  <si>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</si>
  <si>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</si>
  <si>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</si>
  <si>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</si>
  <si>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</si>
  <si>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</si>
  <si>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</si>
  <si>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</si>
  <si>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</si>
  <si>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</si>
  <si>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</si>
  <si>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</si>
  <si>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</si>
  <si>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</si>
  <si>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</si>
  <si>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</si>
  <si>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</si>
  <si>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</si>
  <si>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</si>
  <si>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</si>
  <si>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</si>
  <si>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</si>
  <si>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</si>
  <si>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</si>
  <si>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</si>
  <si>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</si>
  <si>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</si>
  <si>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</si>
  <si>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</si>
  <si>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</si>
  <si>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</si>
  <si>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</si>
  <si>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</si>
  <si>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</si>
  <si>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</si>
  <si>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</si>
  <si>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</si>
  <si>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</si>
  <si>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</si>
  <si>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</si>
  <si>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</si>
  <si>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</si>
  <si>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</si>
  <si>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</si>
  <si>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</si>
  <si>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</si>
  <si>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</si>
  <si>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</si>
  <si>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</si>
  <si>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</si>
  <si>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</si>
  <si>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</si>
  <si>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</si>
  <si>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</si>
  <si>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</si>
  <si>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</si>
  <si>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</si>
  <si>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</si>
  <si>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</si>
  <si>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</si>
  <si>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</si>
  <si>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</si>
  <si>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</si>
  <si>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</si>
  <si>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</si>
  <si>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</si>
  <si>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</si>
  <si>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</si>
  <si>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</si>
  <si>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</si>
  <si>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</si>
  <si>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</si>
  <si>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</si>
  <si>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</si>
  <si>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</si>
  <si>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</si>
  <si>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</si>
  <si>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</si>
  <si>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</si>
  <si>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</si>
  <si>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</si>
  <si>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</si>
  <si>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</si>
  <si>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</si>
  <si>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</si>
  <si>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</si>
  <si>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</si>
  <si>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</si>
  <si>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</si>
  <si>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</si>
  <si>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</si>
  <si>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</si>
  <si>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</si>
  <si>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</si>
  <si>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</si>
  <si>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</si>
  <si>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</si>
  <si>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</si>
  <si>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</si>
  <si>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</si>
  <si>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</si>
  <si>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</si>
  <si>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</si>
  <si>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</si>
  <si>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</si>
  <si>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</si>
  <si>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</si>
  <si>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</si>
  <si>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</si>
  <si>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</si>
  <si>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</si>
  <si>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</si>
  <si>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</si>
  <si>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</si>
  <si>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</si>
  <si>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</si>
  <si>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</si>
  <si>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</si>
  <si>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</si>
  <si>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</si>
  <si>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</si>
  <si>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</si>
  <si>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</si>
  <si>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</si>
  <si>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</si>
  <si>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</si>
  <si>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</si>
  <si>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</si>
  <si>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</si>
  <si>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</si>
  <si>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</si>
  <si>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</si>
  <si>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</si>
  <si>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</si>
  <si>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</si>
  <si>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</si>
  <si>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</si>
  <si>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</si>
  <si>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</si>
  <si>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</si>
  <si>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</si>
  <si>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</si>
  <si>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</si>
  <si>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</si>
  <si>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</si>
  <si>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</si>
  <si>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</si>
  <si>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</si>
  <si>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</si>
  <si>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</si>
  <si>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</si>
  <si>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</si>
  <si>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</si>
  <si>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</si>
  <si>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</si>
  <si>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</si>
  <si>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</si>
  <si>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</si>
  <si>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</si>
  <si>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</si>
  <si>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</si>
  <si>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</si>
  <si>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</si>
  <si>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</si>
  <si>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</si>
  <si>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</si>
  <si>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</si>
  <si>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</si>
  <si>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</si>
  <si>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</si>
  <si>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</si>
  <si>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</si>
  <si>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</si>
  <si>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</si>
  <si>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</si>
  <si>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</si>
  <si>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</si>
  <si>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</si>
  <si>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</si>
  <si>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</si>
  <si>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</si>
  <si>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</si>
  <si>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</si>
  <si>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</si>
  <si>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</si>
  <si>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</si>
  <si>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</si>
  <si>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</si>
  <si>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</si>
  <si>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</si>
  <si>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</si>
  <si>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</si>
  <si>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</si>
  <si>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</si>
  <si>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</si>
  <si>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</si>
  <si>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</si>
  <si>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</si>
  <si>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</si>
  <si>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</si>
  <si>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</si>
  <si>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</si>
  <si>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</si>
  <si>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</si>
  <si>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</si>
  <si>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</si>
  <si>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</si>
  <si>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</si>
  <si>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</si>
  <si>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</si>
  <si>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</si>
  <si>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</si>
  <si>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</si>
  <si>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</si>
  <si>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</si>
  <si>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</si>
  <si>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</si>
  <si>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</si>
  <si>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</si>
  <si>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</si>
  <si>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</si>
  <si>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</si>
  <si>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</si>
  <si>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</si>
  <si>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</si>
  <si>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</si>
  <si>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</si>
  <si>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</si>
  <si>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</si>
  <si>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</si>
  <si>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</si>
  <si>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</si>
  <si>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</si>
  <si>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</si>
  <si>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</si>
  <si>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</si>
  <si>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</si>
  <si>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</si>
  <si>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</si>
  <si>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</si>
  <si>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</si>
  <si>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</si>
  <si>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</si>
  <si>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</si>
  <si>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</si>
  <si>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</si>
  <si>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</si>
  <si>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</si>
  <si>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</si>
  <si>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</si>
  <si>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</si>
  <si>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</si>
  <si>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</si>
  <si>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</si>
  <si>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</si>
  <si>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</si>
  <si>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</si>
  <si>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</si>
  <si>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</si>
  <si>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</si>
  <si>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</si>
  <si>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</si>
  <si>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</si>
  <si>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</si>
  <si>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</si>
  <si>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</si>
  <si>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</si>
  <si>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</si>
  <si>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</si>
  <si>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</si>
  <si>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</si>
  <si>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</si>
  <si>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</si>
  <si>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</si>
  <si>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</si>
  <si>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</si>
  <si>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</si>
  <si>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</si>
  <si>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</si>
  <si>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</si>
  <si>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</si>
  <si>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</si>
  <si>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</si>
  <si>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</si>
  <si>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</si>
  <si>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</si>
  <si>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</si>
  <si>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</si>
  <si>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</si>
  <si>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</si>
  <si>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</si>
  <si>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</si>
  <si>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</si>
  <si>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</si>
  <si>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</si>
  <si>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</si>
  <si>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</si>
  <si>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</si>
  <si>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</si>
  <si>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</si>
  <si>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</si>
  <si>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</si>
  <si>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</si>
  <si>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</si>
  <si>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</si>
  <si>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</si>
  <si>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</si>
  <si>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</si>
  <si>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</si>
  <si>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</si>
  <si>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</si>
  <si>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</si>
  <si>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</si>
  <si>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</si>
  <si>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</si>
  <si>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</si>
  <si>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</si>
  <si>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</si>
  <si>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</si>
  <si>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</si>
  <si>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</si>
  <si>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</si>
  <si>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</si>
  <si>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</si>
  <si>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</si>
  <si>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</si>
  <si>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</si>
  <si>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</si>
  <si>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</si>
  <si>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</si>
  <si>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</si>
  <si>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</si>
  <si>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</si>
  <si>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</si>
  <si>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</si>
  <si>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</si>
  <si>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</si>
  <si>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</si>
  <si>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</si>
  <si>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</si>
  <si>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</si>
  <si>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</si>
  <si>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</si>
  <si>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</si>
  <si>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</si>
  <si>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</si>
  <si>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</si>
  <si>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</si>
  <si>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</si>
  <si>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</si>
  <si>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</si>
  <si>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</si>
  <si>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</si>
  <si>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</si>
  <si>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</si>
  <si>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</si>
  <si>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</si>
  <si>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</si>
  <si>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</si>
  <si>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</si>
  <si>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</si>
  <si>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</si>
  <si>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</si>
  <si>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</si>
  <si>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</si>
  <si>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</si>
  <si>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</si>
  <si>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</si>
  <si>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</si>
  <si>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</si>
  <si>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</si>
  <si>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</si>
  <si>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</si>
  <si>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</si>
  <si>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</si>
  <si>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</si>
  <si>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</si>
  <si>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</si>
  <si>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</si>
  <si>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</si>
  <si>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</si>
  <si>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</si>
  <si>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</si>
  <si>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</si>
  <si>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</si>
  <si>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</si>
  <si>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</si>
  <si>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</si>
  <si>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</si>
  <si>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</si>
  <si>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</si>
  <si>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</si>
  <si>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</si>
  <si>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</si>
  <si>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</si>
  <si>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</si>
  <si>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</si>
  <si>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</si>
  <si>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</si>
  <si>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</si>
  <si>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</si>
  <si>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</si>
  <si>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</si>
  <si>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</si>
  <si>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</si>
  <si>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</si>
  <si>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</si>
  <si>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</si>
  <si>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</si>
  <si>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</si>
  <si>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</si>
  <si>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</si>
  <si>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</si>
  <si>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</si>
  <si>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</si>
  <si>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</si>
  <si>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</si>
  <si>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</si>
  <si>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</si>
  <si>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</si>
  <si>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</si>
  <si>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</si>
  <si>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</si>
  <si>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</si>
  <si>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</si>
  <si>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</si>
  <si>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</si>
  <si>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</si>
  <si>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</si>
  <si>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</si>
  <si>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</si>
  <si>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</si>
  <si>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</si>
  <si>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</si>
  <si>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</si>
  <si>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</si>
  <si>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</si>
  <si>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</si>
  <si>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</si>
  <si>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</si>
  <si>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</si>
  <si>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</si>
  <si>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</si>
  <si>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</si>
  <si>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</si>
  <si>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</si>
  <si>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</si>
  <si>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</si>
  <si>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</si>
  <si>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</si>
  <si>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</si>
  <si>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</si>
  <si>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</si>
  <si>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</si>
  <si>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</si>
  <si>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</si>
  <si>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</si>
  <si>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</si>
  <si>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</si>
  <si>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</si>
  <si>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</si>
  <si>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</si>
  <si>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</si>
  <si>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</si>
  <si>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</si>
  <si>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</si>
  <si>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</si>
  <si>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</si>
  <si>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</si>
  <si>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</si>
  <si>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</si>
  <si>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</si>
  <si>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</si>
  <si>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</si>
  <si>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</si>
  <si>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</si>
  <si>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</si>
  <si>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</si>
  <si>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</si>
  <si>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</si>
  <si>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</si>
  <si>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</si>
  <si>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</si>
  <si>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</si>
  <si>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</si>
  <si>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</si>
  <si>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</si>
  <si>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</si>
  <si>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</si>
  <si>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</si>
  <si>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</si>
  <si>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</si>
  <si>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</si>
  <si>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</si>
  <si>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</si>
  <si>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</si>
  <si>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</si>
  <si>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</si>
  <si>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</si>
  <si>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</si>
  <si>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</si>
  <si>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</si>
  <si>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</si>
  <si>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</si>
  <si>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</si>
  <si>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</si>
  <si>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</si>
  <si>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</si>
  <si>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</si>
  <si>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</si>
  <si>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</si>
  <si>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</si>
  <si>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</si>
  <si>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</si>
  <si>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</si>
  <si>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</si>
  <si>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</si>
  <si>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</si>
  <si>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</si>
  <si>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</si>
  <si>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</si>
  <si>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</si>
  <si>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</si>
  <si>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</si>
  <si>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</si>
  <si>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</si>
  <si>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</si>
  <si>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</si>
  <si>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</si>
  <si>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</si>
  <si>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</si>
  <si>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</si>
  <si>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</si>
  <si>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</si>
  <si>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</si>
  <si>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</si>
  <si>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</si>
  <si>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</si>
  <si>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</si>
  <si>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</si>
  <si>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</si>
  <si>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</si>
  <si>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</si>
  <si>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</si>
  <si>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</si>
  <si>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</si>
  <si>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</si>
  <si>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</si>
  <si>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</si>
  <si>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</si>
  <si>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</si>
  <si>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</si>
  <si>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</si>
  <si>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</si>
  <si>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</si>
  <si>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</si>
  <si>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</si>
  <si>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</si>
  <si>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</si>
  <si>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</si>
  <si>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</si>
  <si>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</si>
  <si>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</si>
  <si>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</si>
  <si>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</si>
  <si>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</si>
  <si>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</si>
  <si>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</si>
  <si>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</si>
  <si>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</si>
  <si>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</si>
  <si>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</si>
  <si>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</si>
  <si>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</si>
  <si>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</si>
  <si>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</si>
  <si>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</si>
  <si>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</si>
  <si>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</si>
  <si>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</si>
  <si>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</si>
  <si>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</si>
  <si>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</si>
  <si>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</si>
  <si>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</si>
  <si>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</si>
  <si>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</si>
  <si>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</si>
  <si>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</si>
  <si>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</si>
  <si>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</si>
  <si>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</si>
  <si>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</si>
  <si>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</si>
  <si>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</si>
  <si>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</si>
  <si>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</si>
  <si>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</si>
  <si>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</si>
  <si>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</si>
  <si>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</si>
  <si>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</si>
  <si>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</si>
  <si>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</si>
  <si>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</si>
  <si>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</si>
  <si>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</si>
  <si>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</si>
  <si>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</si>
  <si>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</si>
  <si>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</si>
  <si>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</si>
  <si>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</si>
  <si>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</si>
  <si>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</si>
  <si>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</si>
  <si>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</si>
  <si>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</si>
  <si>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</si>
  <si>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</si>
  <si>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</si>
  <si>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</si>
  <si>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</si>
  <si>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</si>
  <si>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</si>
  <si>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</si>
  <si>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</si>
  <si>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</si>
  <si>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</si>
  <si>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</si>
  <si>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</si>
  <si>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</si>
  <si>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</si>
  <si>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</si>
  <si>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</si>
  <si>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</si>
  <si>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</si>
  <si>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</si>
  <si>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</si>
  <si>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</si>
  <si>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</si>
  <si>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</si>
  <si>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</si>
  <si>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</si>
  <si>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</si>
  <si>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</si>
  <si>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</si>
  <si>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</si>
  <si>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</si>
  <si>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</si>
  <si>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</si>
  <si>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</si>
  <si>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</si>
  <si>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</si>
  <si>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</si>
  <si>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</si>
  <si>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</si>
  <si>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</si>
  <si>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</si>
  <si>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</si>
  <si>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</si>
  <si>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</si>
  <si>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</si>
  <si>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</si>
  <si>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</si>
  <si>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</si>
  <si>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</si>
  <si>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</si>
  <si>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</si>
  <si>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</si>
  <si>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</si>
  <si>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</si>
  <si>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</si>
  <si>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</si>
  <si>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</si>
  <si>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</si>
  <si>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</si>
  <si>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</si>
  <si>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</si>
  <si>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</si>
  <si>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</si>
  <si>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</si>
  <si>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</si>
  <si>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</si>
  <si>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</si>
  <si>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</si>
  <si>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</si>
  <si>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</si>
  <si>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</si>
  <si>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</si>
  <si>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</si>
  <si>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</si>
  <si>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</si>
  <si>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</si>
  <si>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</si>
  <si>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</si>
  <si>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</si>
  <si>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</si>
  <si>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</si>
  <si>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</si>
  <si>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</si>
  <si>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</si>
  <si>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</si>
  <si>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</si>
  <si>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</si>
  <si>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</si>
  <si>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</si>
  <si>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</si>
  <si>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</si>
  <si>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</si>
  <si>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</si>
  <si>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</si>
  <si>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</si>
  <si>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</si>
  <si>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</si>
  <si>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</si>
  <si>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</si>
  <si>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</si>
  <si>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</si>
  <si>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</si>
  <si>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</si>
  <si>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</si>
  <si>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</si>
  <si>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</si>
  <si>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</si>
  <si>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</si>
  <si>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</si>
  <si>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</si>
  <si>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</si>
  <si>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</si>
  <si>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</si>
  <si>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</si>
  <si>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</si>
  <si>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</si>
  <si>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</si>
  <si>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</si>
  <si>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</si>
  <si>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</si>
  <si>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</si>
  <si>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</si>
  <si>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</si>
  <si>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</si>
  <si>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</si>
  <si>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</si>
  <si>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</si>
  <si>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</si>
  <si>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</si>
  <si>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</si>
  <si>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</si>
  <si>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</si>
  <si>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</si>
  <si>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</si>
  <si>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</si>
  <si>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</si>
  <si>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</si>
  <si>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</si>
  <si>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</si>
  <si>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</si>
  <si>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</si>
  <si>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</si>
  <si>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</si>
  <si>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</si>
  <si>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</si>
  <si>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</si>
  <si>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</si>
  <si>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</si>
  <si>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</si>
  <si>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</si>
  <si>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</si>
  <si>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</si>
  <si>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</si>
  <si>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</si>
  <si>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</si>
  <si>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</si>
  <si>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</si>
  <si>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</si>
  <si>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</si>
  <si>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</si>
  <si>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</si>
  <si>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</si>
  <si>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</si>
  <si>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</si>
  <si>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</si>
  <si>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</si>
  <si>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</si>
  <si>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</si>
  <si>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</si>
  <si>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</si>
  <si>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</si>
  <si>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</si>
  <si>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</si>
  <si>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</si>
  <si>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</si>
  <si>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</si>
  <si>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</si>
  <si>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</si>
  <si>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</si>
  <si>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</si>
  <si>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</si>
  <si>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</si>
  <si>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</si>
  <si>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</si>
  <si>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</si>
  <si>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</si>
  <si>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</si>
  <si>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</si>
  <si>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</si>
  <si>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</si>
  <si>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</si>
  <si>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</si>
  <si>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</si>
  <si>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</si>
  <si>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</si>
  <si>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</si>
  <si>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</si>
  <si>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</si>
  <si>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</si>
  <si>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</si>
  <si>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</si>
  <si>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</si>
  <si>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</si>
  <si>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</si>
  <si>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</si>
  <si>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</si>
  <si>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</si>
  <si>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</si>
  <si>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</si>
  <si>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</si>
  <si>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</si>
  <si>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</si>
  <si>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</si>
  <si>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</si>
  <si>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</si>
  <si>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</si>
  <si>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</si>
  <si>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</si>
  <si>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</si>
  <si>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</si>
  <si>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</si>
  <si>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</si>
  <si>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</si>
  <si>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</si>
  <si>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</si>
  <si>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</si>
  <si>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</si>
  <si>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</si>
  <si>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</si>
  <si>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</si>
  <si>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</si>
  <si>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</si>
  <si>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</si>
  <si>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</si>
  <si>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</si>
  <si>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</si>
  <si>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</si>
  <si>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</si>
  <si>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</si>
  <si>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</si>
  <si>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</si>
  <si>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</si>
  <si>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</si>
  <si>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</si>
  <si>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</si>
  <si>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</si>
  <si>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</si>
  <si>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</si>
  <si>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</si>
  <si>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</si>
  <si>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</si>
  <si>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</si>
  <si>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</si>
  <si>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</si>
  <si>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</si>
  <si>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</si>
  <si>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</si>
  <si>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</si>
  <si>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</si>
  <si>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</si>
  <si>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</si>
  <si>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</si>
  <si>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</si>
  <si>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</si>
  <si>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</si>
  <si>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</si>
  <si>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</si>
  <si>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</si>
  <si>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</si>
  <si>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</si>
  <si>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</si>
  <si>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</si>
  <si>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</si>
  <si>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</si>
  <si>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</si>
  <si>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</si>
  <si>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</si>
  <si>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</si>
  <si>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</si>
  <si>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</si>
  <si>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</si>
  <si>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</si>
  <si>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</si>
  <si>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</si>
  <si>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</si>
  <si>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</si>
  <si>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</si>
  <si>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</si>
  <si>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</si>
  <si>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</si>
  <si>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</si>
  <si>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</si>
  <si>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</si>
  <si>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</si>
  <si>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</si>
  <si>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</si>
  <si>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</si>
  <si>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</si>
  <si>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</si>
  <si>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</si>
  <si>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</si>
  <si>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</si>
  <si>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</si>
  <si>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</si>
  <si>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</si>
  <si>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</si>
  <si>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</si>
  <si>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</si>
  <si>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</si>
  <si>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</si>
  <si>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</si>
  <si>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</si>
  <si>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</si>
  <si>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</si>
  <si>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</si>
  <si>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</si>
  <si>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</si>
  <si>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</si>
  <si>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</si>
  <si>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</si>
  <si>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</si>
  <si>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</si>
  <si>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</si>
  <si>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</si>
  <si>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</si>
  <si>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</si>
  <si>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</si>
  <si>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</si>
  <si>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</si>
  <si>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</si>
  <si>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</si>
  <si>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</si>
  <si>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</si>
  <si>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</si>
  <si>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</si>
  <si>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</si>
  <si>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</si>
  <si>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</si>
  <si>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</si>
  <si>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</si>
  <si>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</si>
  <si>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</si>
  <si>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</si>
  <si>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</si>
  <si>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</si>
  <si>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</si>
  <si>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</si>
  <si>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</si>
  <si>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</si>
  <si>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</si>
  <si>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</si>
  <si>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</si>
  <si>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</si>
  <si>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</si>
  <si>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</si>
  <si>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</si>
  <si>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</si>
  <si>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</si>
  <si>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</si>
  <si>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</si>
  <si>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</si>
  <si>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</si>
  <si>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</si>
  <si>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</si>
  <si>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</si>
  <si>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</si>
  <si>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</si>
  <si>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</si>
  <si>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</si>
  <si>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</si>
  <si>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</si>
  <si>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</si>
  <si>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</si>
  <si>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</si>
  <si>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</si>
  <si>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</si>
  <si>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</si>
  <si>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</si>
  <si>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</si>
  <si>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</si>
  <si>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</si>
  <si>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</si>
  <si>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</si>
  <si>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</si>
  <si>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</si>
  <si>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</si>
  <si>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</si>
  <si>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</si>
  <si>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</si>
  <si>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</si>
  <si>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</si>
  <si>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</si>
  <si>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</si>
  <si>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</si>
  <si>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</si>
  <si>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</si>
  <si>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</si>
  <si>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</si>
  <si>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</si>
  <si>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</si>
  <si>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</si>
  <si>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</si>
  <si>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</si>
  <si>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</si>
  <si>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</si>
  <si>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</si>
  <si>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</si>
  <si>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</si>
  <si>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</si>
  <si>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</si>
  <si>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</si>
  <si>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</si>
  <si>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</si>
  <si>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</si>
  <si>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</si>
  <si>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</si>
  <si>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</si>
  <si>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</si>
  <si>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</si>
  <si>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</si>
  <si>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</si>
  <si>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</si>
  <si>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</si>
  <si>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</si>
  <si>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</si>
  <si>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</si>
  <si>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</si>
  <si>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</si>
  <si>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</si>
  <si>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</si>
  <si>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</si>
  <si>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</si>
  <si>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</si>
  <si>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</si>
  <si>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</si>
  <si>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</si>
  <si>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</si>
  <si>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</si>
  <si>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</si>
  <si>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</si>
  <si>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</si>
  <si>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</si>
  <si>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</si>
  <si>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</si>
  <si>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</si>
  <si>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</si>
  <si>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</si>
  <si>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</si>
  <si>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</si>
  <si>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</si>
  <si>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</si>
  <si>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</si>
  <si>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</si>
  <si>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</si>
  <si>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</si>
  <si>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</si>
  <si>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</si>
  <si>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</si>
  <si>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</si>
  <si>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</si>
  <si>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</si>
  <si>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</si>
  <si>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</si>
  <si>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</si>
  <si>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</si>
  <si>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</si>
  <si>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</si>
  <si>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</si>
  <si>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</si>
  <si>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</si>
  <si>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</si>
  <si>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</si>
  <si>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</si>
  <si>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</si>
  <si>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</si>
  <si>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</si>
  <si>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</si>
  <si>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</si>
  <si>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</si>
  <si>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</si>
  <si>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</si>
  <si>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</si>
  <si>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</si>
  <si>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</si>
  <si>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</si>
  <si>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</si>
  <si>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</si>
  <si>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</si>
  <si>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</si>
  <si>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</si>
  <si>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</si>
  <si>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</si>
  <si>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</si>
  <si>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</si>
  <si>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</si>
  <si>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</si>
  <si>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</si>
  <si>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</si>
  <si>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</si>
  <si>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</si>
  <si>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</si>
  <si>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</si>
  <si>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</si>
  <si>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</si>
  <si>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</si>
  <si>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</si>
  <si>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</si>
  <si>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</si>
  <si>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</si>
  <si>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</si>
  <si>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</si>
  <si>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</si>
  <si>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</si>
  <si>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</si>
  <si>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</si>
  <si>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</si>
  <si>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</si>
  <si>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</si>
  <si>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</si>
  <si>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</si>
  <si>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</si>
  <si>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</si>
  <si>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</si>
  <si>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</si>
  <si>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</si>
  <si>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</si>
  <si>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</si>
  <si>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</si>
  <si>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</si>
  <si>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</si>
  <si>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</si>
  <si>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</si>
  <si>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</si>
  <si>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</si>
  <si>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</si>
  <si>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</si>
  <si>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</si>
  <si>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</si>
  <si>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</si>
  <si>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</si>
  <si>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</si>
  <si>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</si>
  <si>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</si>
  <si>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</si>
  <si>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</si>
  <si>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</si>
  <si>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</si>
  <si>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</si>
  <si>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</si>
  <si>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</si>
  <si>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</si>
  <si>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</si>
  <si>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</si>
  <si>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</si>
  <si>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</si>
  <si>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</si>
  <si>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</si>
  <si>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</si>
  <si>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</si>
  <si>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</si>
  <si>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</si>
  <si>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</si>
  <si>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</si>
  <si>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</si>
  <si>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</si>
  <si>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</si>
  <si>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</si>
  <si>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</si>
  <si>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</si>
  <si>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</si>
  <si>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</si>
  <si>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</si>
  <si>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</si>
  <si>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</si>
  <si>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</si>
  <si>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</si>
  <si>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</si>
  <si>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</si>
  <si>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</si>
  <si>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</si>
  <si>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</si>
  <si>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</si>
  <si>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</si>
  <si>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</si>
  <si>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</si>
  <si>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</si>
  <si>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</si>
  <si>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</si>
  <si>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</si>
  <si>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</si>
  <si>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</si>
  <si>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</si>
  <si>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</si>
  <si>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</si>
  <si>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</si>
  <si>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</si>
  <si>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</si>
  <si>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</si>
  <si>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</si>
  <si>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</si>
  <si>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</si>
  <si>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</si>
  <si>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</si>
  <si>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</si>
  <si>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</si>
  <si>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</si>
  <si>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</si>
  <si>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</si>
  <si>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</si>
  <si>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</si>
  <si>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</si>
  <si>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</si>
  <si>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</si>
  <si>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</si>
  <si>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</si>
  <si>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</si>
  <si>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</si>
  <si>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</si>
  <si>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</si>
  <si>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</si>
  <si>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</si>
  <si>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</si>
  <si>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</si>
  <si>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</si>
  <si>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</si>
  <si>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</si>
  <si>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</si>
  <si>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</si>
  <si>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</si>
  <si>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</si>
  <si>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</si>
  <si>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</si>
  <si>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</si>
  <si>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</si>
  <si>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</si>
  <si>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</si>
  <si>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</si>
  <si>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</si>
  <si>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</si>
  <si>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</si>
  <si>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</si>
  <si>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</si>
  <si>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</si>
  <si>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</si>
  <si>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</si>
  <si>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</si>
  <si>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</si>
  <si>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</si>
  <si>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</si>
  <si>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</si>
  <si>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</si>
  <si>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</si>
  <si>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</si>
  <si>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</si>
  <si>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</si>
  <si>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</si>
  <si>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</si>
  <si>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</si>
  <si>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</si>
  <si>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</si>
  <si>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</si>
  <si>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</si>
  <si>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</si>
  <si>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</si>
  <si>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</si>
  <si>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</si>
  <si>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</si>
  <si>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</si>
  <si>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</si>
  <si>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</si>
  <si>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</si>
  <si>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</si>
  <si>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</si>
  <si>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</si>
  <si>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</si>
  <si>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</si>
  <si>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</si>
  <si>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</si>
  <si>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</si>
  <si>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</si>
  <si>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</si>
  <si>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</si>
  <si>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</si>
  <si>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</si>
  <si>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</si>
  <si>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</si>
  <si>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</si>
  <si>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</si>
  <si>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</si>
  <si>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</si>
  <si>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</si>
  <si>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</si>
  <si>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</si>
  <si>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</si>
  <si>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</si>
  <si>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</si>
  <si>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</si>
  <si>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</si>
  <si>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</si>
  <si>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</si>
  <si>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</si>
  <si>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</si>
  <si>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</si>
  <si>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</si>
  <si>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</si>
  <si>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</si>
  <si>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</si>
  <si>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</si>
  <si>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</si>
  <si>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</si>
  <si>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</si>
  <si>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</si>
  <si>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</si>
  <si>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</si>
  <si>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</si>
  <si>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</si>
  <si>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</si>
  <si>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</si>
  <si>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</si>
  <si>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</si>
  <si>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</si>
  <si>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</si>
  <si>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</si>
  <si>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</si>
  <si>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</si>
  <si>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</si>
  <si>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</si>
  <si>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</si>
  <si>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</si>
  <si>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</si>
  <si>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</si>
  <si>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</si>
  <si>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</si>
  <si>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</si>
  <si>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</si>
  <si>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</si>
  <si>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</si>
  <si>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</si>
  <si>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</si>
  <si>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</si>
  <si>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</si>
  <si>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</si>
  <si>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</si>
  <si>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</si>
  <si>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</si>
  <si>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</si>
  <si>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</si>
  <si>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</si>
  <si>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</si>
  <si>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</si>
  <si>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</si>
  <si>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</si>
  <si>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</si>
  <si>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</si>
  <si>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</si>
  <si>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</si>
  <si>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</si>
  <si>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</si>
  <si>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</si>
  <si>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</si>
  <si>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</si>
  <si>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</si>
  <si>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</si>
  <si>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</si>
  <si>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</si>
  <si>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</si>
  <si>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</si>
  <si>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</si>
  <si>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</si>
  <si>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</si>
  <si>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</si>
  <si>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</si>
  <si>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</si>
  <si>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</si>
  <si>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</si>
  <si>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</si>
  <si>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</si>
  <si>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</si>
  <si>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</si>
  <si>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</si>
  <si>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</si>
  <si>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</si>
  <si>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</si>
  <si>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</si>
  <si>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</si>
  <si>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</si>
  <si>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</si>
  <si>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</si>
  <si>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</si>
  <si>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</si>
  <si>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</si>
  <si>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</si>
  <si>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</si>
  <si>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</si>
  <si>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</si>
  <si>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</si>
  <si>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</si>
  <si>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</si>
  <si>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</si>
  <si>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</si>
  <si>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</si>
  <si>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</si>
  <si>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</si>
  <si>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</si>
  <si>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</si>
  <si>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</si>
  <si>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</si>
  <si>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</si>
  <si>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</si>
  <si>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</si>
  <si>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</si>
  <si>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</si>
  <si>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</si>
  <si>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</si>
  <si>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</si>
  <si>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</si>
  <si>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</si>
  <si>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</si>
  <si>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</si>
  <si>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</si>
  <si>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</si>
  <si>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</si>
  <si>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</si>
  <si>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</si>
  <si>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</si>
  <si>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</si>
  <si>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</si>
  <si>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</si>
  <si>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</si>
  <si>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</si>
  <si>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</si>
  <si>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</si>
  <si>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</si>
  <si>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</si>
  <si>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</si>
  <si>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</si>
  <si>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</si>
  <si>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</si>
  <si>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</si>
  <si>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</si>
  <si>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</si>
  <si>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</si>
  <si>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</si>
  <si>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</si>
  <si>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</si>
  <si>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</si>
  <si>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</si>
  <si>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</si>
  <si>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</si>
  <si>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</si>
  <si>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</si>
  <si>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</si>
  <si>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</si>
  <si>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</si>
  <si>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</si>
  <si>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</si>
  <si>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</si>
  <si>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</si>
  <si>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</si>
  <si>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</si>
  <si>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</si>
  <si>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</si>
  <si>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</si>
  <si>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</si>
  <si>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</si>
  <si>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</si>
  <si>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</si>
  <si>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</si>
  <si>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</si>
  <si>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</si>
  <si>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</si>
  <si>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</si>
  <si>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</si>
  <si>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</si>
  <si>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</si>
  <si>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</si>
  <si>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</si>
  <si>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</si>
  <si>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</si>
  <si>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</si>
  <si>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</si>
  <si>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</si>
  <si>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</si>
  <si>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</si>
  <si>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</si>
  <si>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</si>
  <si>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</si>
  <si>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</si>
  <si>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</si>
  <si>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</si>
  <si>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</si>
  <si>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</si>
  <si>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</si>
  <si>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</si>
  <si>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</si>
  <si>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</si>
  <si>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</si>
  <si>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</si>
  <si>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</si>
  <si>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</si>
  <si>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</si>
  <si>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</si>
  <si>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</si>
  <si>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</si>
  <si>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</si>
  <si>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</si>
  <si>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</si>
  <si>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</si>
  <si>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</si>
  <si>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</si>
  <si>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</si>
  <si>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</si>
  <si>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</si>
  <si>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</si>
  <si>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</si>
  <si>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</si>
  <si>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</si>
  <si>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</si>
  <si>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</si>
  <si>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</si>
  <si>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</si>
  <si>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</si>
  <si>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</si>
  <si>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</si>
  <si>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</si>
  <si>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</si>
  <si>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</si>
  <si>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</si>
  <si>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</si>
  <si>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</si>
  <si>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</si>
  <si>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</si>
  <si>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</si>
  <si>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</si>
  <si>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</si>
  <si>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</si>
  <si>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</si>
  <si>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</si>
  <si>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</si>
  <si>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</si>
  <si>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</si>
  <si>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</si>
  <si>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</si>
  <si>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</si>
  <si>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</si>
  <si>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</si>
  <si>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</si>
  <si>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</si>
  <si>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</si>
  <si>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</si>
  <si>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</si>
  <si>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</si>
  <si>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</si>
  <si>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</si>
  <si>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</si>
  <si>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</si>
  <si>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</si>
  <si>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</si>
  <si>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</si>
  <si>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</si>
  <si>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</si>
  <si>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</si>
  <si>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</si>
  <si>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</si>
  <si>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</si>
  <si>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</si>
  <si>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</si>
  <si>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</si>
  <si>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</si>
  <si>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</si>
  <si>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</si>
  <si>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</si>
  <si>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</si>
  <si>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</si>
  <si>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</si>
  <si>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</si>
  <si>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</si>
  <si>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</si>
  <si>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</si>
  <si>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</si>
  <si>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</si>
  <si>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</si>
  <si>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</si>
  <si>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</si>
  <si>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</si>
  <si>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</si>
  <si>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</si>
  <si>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</si>
  <si>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</si>
  <si>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</si>
  <si>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</si>
  <si>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</si>
  <si>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</si>
  <si>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</si>
  <si>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</si>
  <si>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</si>
  <si>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</si>
  <si>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</si>
  <si>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</si>
  <si>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</si>
  <si>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</si>
  <si>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</si>
  <si>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</si>
  <si>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</si>
  <si>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</si>
  <si>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</si>
  <si>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</si>
  <si>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</si>
  <si>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</si>
  <si>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</si>
  <si>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</si>
  <si>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</si>
  <si>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</si>
  <si>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</si>
  <si>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</si>
  <si>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</si>
  <si>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</si>
  <si>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</si>
  <si>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</si>
  <si>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</si>
  <si>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</si>
  <si>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</si>
  <si>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</si>
  <si>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</si>
  <si>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</si>
  <si>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</si>
  <si>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</si>
  <si>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</si>
  <si>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</si>
  <si>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</si>
  <si>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</si>
  <si>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</si>
  <si>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</si>
  <si>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</si>
  <si>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</si>
  <si>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</si>
  <si>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</si>
  <si>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</si>
  <si>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</si>
  <si>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</si>
  <si>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</si>
  <si>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</si>
  <si>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</si>
  <si>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</si>
  <si>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</si>
  <si>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</si>
  <si>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</si>
  <si>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</si>
  <si>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</si>
  <si>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</si>
  <si>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</si>
  <si>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</si>
  <si>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</si>
  <si>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</si>
  <si>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</si>
  <si>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</si>
  <si>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</si>
  <si>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</si>
  <si>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</si>
  <si>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</si>
  <si>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</si>
  <si>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</si>
  <si>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</si>
  <si>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</si>
  <si>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</si>
  <si>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</si>
  <si>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</si>
  <si>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</si>
  <si>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</si>
  <si>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</si>
  <si>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</si>
  <si>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</si>
  <si>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</si>
  <si>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</si>
  <si>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</si>
  <si>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</si>
  <si>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</si>
  <si>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</si>
  <si>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</si>
  <si>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</si>
  <si>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</si>
  <si>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</si>
  <si>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</si>
  <si>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</si>
  <si>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</si>
  <si>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</si>
  <si>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</si>
  <si>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</si>
  <si>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</si>
  <si>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</si>
  <si>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</si>
  <si>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</si>
  <si>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</si>
  <si>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</si>
  <si>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</si>
  <si>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</si>
  <si>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</si>
  <si>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</si>
  <si>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</si>
  <si>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</si>
  <si>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</si>
  <si>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</si>
  <si>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</si>
  <si>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</si>
  <si>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</si>
  <si>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</si>
  <si>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</si>
  <si>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</si>
  <si>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</si>
  <si>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</si>
  <si>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</si>
  <si>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</si>
  <si>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</si>
  <si>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</si>
  <si>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</si>
  <si>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</si>
  <si>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</si>
  <si>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</si>
  <si>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</si>
  <si>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</si>
  <si>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</si>
  <si>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</si>
  <si>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</si>
  <si>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</si>
  <si>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</si>
  <si>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</si>
  <si>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</si>
  <si>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</si>
  <si>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</si>
  <si>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</si>
  <si>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</si>
  <si>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</si>
  <si>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</si>
  <si>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</si>
  <si>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</si>
  <si>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</si>
  <si>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</si>
  <si>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</si>
  <si>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</si>
  <si>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</si>
  <si>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</si>
  <si>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</si>
  <si>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</si>
  <si>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</si>
  <si>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</si>
  <si>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</si>
  <si>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</si>
  <si>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</si>
  <si>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</si>
  <si>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</si>
  <si>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</si>
  <si>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</si>
  <si>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</si>
  <si>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</si>
  <si>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</si>
  <si>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</si>
  <si>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</si>
  <si>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</si>
  <si>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</si>
  <si>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</si>
  <si>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</si>
  <si>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</si>
  <si>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</si>
  <si>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</si>
  <si>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</si>
  <si>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</si>
  <si>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</si>
  <si>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</si>
  <si>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</si>
  <si>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</si>
  <si>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</si>
  <si>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</si>
  <si>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</si>
  <si>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</si>
  <si>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</si>
  <si>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</si>
  <si>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</si>
  <si>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</si>
  <si>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</si>
  <si>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</si>
  <si>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</si>
  <si>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</si>
  <si>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</si>
  <si>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</si>
  <si>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</si>
  <si>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</si>
  <si>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</si>
  <si>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</si>
  <si>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</si>
  <si>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</si>
  <si>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</si>
  <si>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</si>
  <si>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</si>
  <si>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</si>
  <si>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</si>
  <si>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</si>
  <si>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</si>
  <si>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</si>
  <si>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</si>
  <si>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</si>
  <si>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</si>
  <si>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</si>
  <si>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</si>
  <si>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</si>
  <si>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</si>
  <si>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</si>
  <si>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</si>
  <si>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</si>
  <si>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</si>
  <si>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</si>
  <si>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</si>
  <si>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</si>
  <si>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</si>
  <si>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</si>
  <si>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</si>
  <si>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</si>
  <si>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</si>
  <si>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</si>
  <si>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</si>
  <si>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</si>
  <si>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</si>
  <si>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</si>
  <si>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</si>
  <si>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</si>
  <si>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</si>
  <si>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</si>
  <si>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</si>
  <si>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</si>
  <si>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</si>
  <si>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</si>
  <si>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</si>
  <si>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</si>
  <si>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</si>
  <si>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</si>
  <si>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</si>
  <si>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</si>
  <si>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</si>
  <si>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</si>
  <si>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</si>
  <si>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</si>
  <si>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</si>
  <si>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</si>
  <si>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</si>
  <si>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</si>
  <si>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</si>
  <si>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</si>
  <si>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</si>
  <si>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</si>
  <si>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</si>
  <si>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</si>
  <si>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</si>
  <si>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</si>
  <si>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</si>
  <si>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</si>
  <si>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</si>
  <si>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</si>
  <si>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</si>
  <si>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</si>
  <si>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</si>
  <si>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</si>
  <si>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</si>
  <si>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</si>
  <si>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</si>
  <si>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</si>
  <si>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</si>
  <si>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</si>
  <si>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</si>
  <si>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</si>
  <si>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</si>
  <si>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</si>
  <si>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</si>
  <si>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</si>
  <si>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</si>
  <si>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</si>
  <si>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</si>
  <si>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</si>
  <si>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</si>
  <si>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</si>
  <si>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</si>
  <si>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</si>
  <si>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</si>
  <si>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</si>
  <si>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</si>
  <si>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</si>
  <si>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</si>
  <si>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</si>
  <si>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</si>
  <si>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</si>
  <si>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</si>
  <si>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</si>
  <si>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</si>
  <si>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</si>
  <si>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</si>
  <si>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</si>
  <si>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</si>
  <si>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</si>
  <si>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</si>
  <si>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</si>
  <si>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</si>
  <si>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</si>
  <si>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</si>
  <si>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</si>
  <si>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</si>
  <si>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</si>
  <si>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</si>
  <si>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</si>
  <si>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</si>
  <si>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</si>
  <si>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</si>
  <si>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</si>
  <si>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</si>
  <si>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</si>
  <si>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</si>
  <si>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</si>
  <si>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</si>
  <si>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</si>
  <si>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</si>
  <si>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</si>
  <si>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</si>
  <si>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</si>
  <si>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</si>
  <si>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</si>
  <si>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</si>
  <si>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</si>
  <si>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</si>
  <si>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</si>
  <si>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</si>
  <si>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</si>
  <si>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</si>
  <si>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</si>
  <si>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</si>
  <si>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</si>
  <si>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</si>
  <si>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</si>
  <si>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</si>
  <si>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</si>
  <si>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</si>
  <si>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</si>
  <si>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</si>
  <si>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</si>
  <si>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</si>
  <si>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</si>
  <si>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</si>
  <si>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</si>
  <si>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</si>
  <si>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</si>
  <si>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</si>
  <si>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</si>
  <si>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</si>
  <si>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</si>
  <si>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</si>
  <si>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</si>
  <si>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</si>
  <si>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</si>
  <si>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</si>
  <si>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</si>
  <si>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</si>
  <si>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</si>
  <si>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</si>
  <si>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</si>
  <si>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</si>
  <si>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</si>
  <si>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</si>
  <si>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</si>
  <si>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</si>
  <si>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</si>
  <si>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</si>
  <si>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</si>
  <si>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</si>
  <si>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</si>
  <si>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</si>
  <si>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</si>
  <si>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</si>
  <si>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</si>
  <si>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</si>
  <si>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</si>
  <si>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</si>
  <si>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</si>
  <si>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</si>
  <si>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</si>
  <si>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</si>
  <si>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</si>
  <si>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</si>
  <si>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</si>
  <si>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</si>
  <si>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</si>
  <si>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</si>
  <si>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</si>
  <si>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</si>
  <si>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</si>
  <si>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</si>
  <si>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</si>
  <si>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</si>
  <si>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</si>
  <si>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</si>
  <si>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</si>
  <si>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</si>
  <si>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</si>
  <si>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</si>
  <si>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</si>
  <si>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</si>
  <si>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</si>
  <si>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</si>
  <si>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</si>
  <si>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</si>
  <si>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</si>
  <si>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</si>
  <si>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</si>
  <si>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</si>
  <si>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</si>
  <si>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</si>
  <si>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</si>
  <si>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</si>
  <si>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</si>
  <si>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</si>
  <si>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</si>
  <si>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</si>
  <si>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</si>
  <si>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</si>
  <si>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</si>
  <si>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</si>
  <si>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</si>
  <si>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</si>
  <si>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</si>
  <si>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</si>
  <si>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</si>
  <si>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</si>
  <si>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</si>
  <si>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</si>
  <si>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</si>
  <si>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</si>
  <si>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</si>
  <si>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</si>
  <si>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</si>
  <si>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</si>
  <si>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</si>
  <si>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</si>
  <si>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</si>
  <si>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</si>
  <si>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</si>
  <si>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</si>
  <si>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</si>
  <si>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</si>
  <si>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</si>
  <si>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</si>
  <si>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</si>
  <si>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</si>
  <si>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</si>
  <si>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</si>
  <si>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</si>
  <si>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</si>
  <si>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</si>
  <si>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</si>
  <si>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</si>
  <si>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</si>
  <si>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</si>
  <si>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</si>
  <si>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</si>
  <si>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</si>
  <si>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</si>
  <si>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</si>
  <si>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</si>
  <si>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</si>
  <si>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</si>
  <si>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</si>
  <si>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</si>
  <si>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</si>
  <si>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</si>
  <si>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</si>
  <si>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</si>
  <si>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</si>
  <si>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</si>
  <si>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</si>
  <si>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</si>
  <si>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</si>
  <si>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</si>
  <si>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</si>
  <si>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</si>
  <si>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</si>
  <si>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</si>
  <si>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</si>
  <si>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</si>
  <si>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</si>
  <si>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</si>
  <si>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</si>
  <si>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</si>
  <si>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</si>
  <si>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</si>
  <si>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</si>
  <si>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</si>
  <si>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</si>
  <si>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</si>
  <si>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</si>
  <si>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</si>
  <si>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</si>
  <si>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</si>
  <si>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</si>
  <si>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</si>
  <si>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</si>
  <si>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</si>
  <si>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</si>
  <si>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</si>
  <si>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</si>
  <si>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</si>
  <si>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</si>
  <si>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</si>
  <si>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</si>
  <si>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</si>
  <si>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</si>
  <si>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</si>
  <si>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</si>
  <si>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</si>
  <si>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</si>
  <si>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</si>
  <si>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</si>
  <si>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</si>
  <si>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</si>
  <si>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</si>
  <si>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</si>
  <si>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</si>
  <si>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</si>
  <si>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</si>
  <si>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</si>
  <si>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</si>
  <si>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</si>
  <si>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</si>
  <si>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</si>
  <si>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</si>
  <si>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</si>
  <si>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</si>
  <si>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</si>
  <si>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</si>
  <si>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</si>
  <si>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</si>
  <si>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</si>
  <si>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</si>
  <si>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</si>
  <si>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</si>
  <si>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</si>
  <si>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</si>
  <si>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</si>
  <si>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</si>
  <si>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</si>
  <si>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</si>
  <si>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</si>
  <si>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</si>
  <si>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</si>
  <si>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</si>
  <si>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</si>
  <si>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</si>
  <si>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</si>
  <si>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</si>
  <si>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</si>
  <si>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</si>
  <si>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</si>
  <si>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</si>
  <si>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</si>
  <si>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</si>
  <si>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</si>
  <si>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</si>
  <si>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</si>
  <si>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</si>
  <si>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</si>
  <si>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</si>
  <si>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</si>
  <si>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</si>
  <si>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</si>
  <si>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</si>
  <si>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</si>
  <si>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</si>
  <si>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</si>
  <si>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</si>
  <si>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</si>
  <si>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</si>
  <si>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</si>
  <si>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</si>
  <si>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</si>
  <si>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</si>
  <si>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</si>
  <si>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</si>
  <si>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</si>
  <si>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</si>
  <si>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</si>
  <si>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</si>
  <si>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</si>
  <si>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</si>
  <si>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</si>
  <si>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</si>
  <si>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</si>
  <si>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</si>
  <si>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</si>
  <si>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</si>
  <si>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</si>
  <si>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</si>
  <si>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</si>
  <si>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</si>
  <si>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</si>
  <si>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</si>
  <si>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</si>
  <si>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</si>
  <si>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</si>
  <si>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</si>
  <si>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</si>
  <si>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</si>
  <si>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</si>
  <si>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</si>
  <si>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</si>
  <si>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</si>
  <si>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</si>
  <si>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</si>
  <si>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</si>
  <si>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</si>
  <si>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</si>
  <si>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</si>
  <si>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</si>
  <si>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</si>
  <si>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</si>
  <si>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</si>
  <si>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</si>
  <si>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</si>
  <si>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</si>
  <si>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</si>
  <si>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</si>
  <si>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</si>
  <si>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</si>
  <si>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</si>
  <si>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</si>
  <si>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</si>
  <si>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</si>
  <si>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</si>
  <si>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</si>
  <si>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</si>
  <si>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</si>
  <si>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</si>
  <si>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</si>
  <si>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</si>
  <si>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</si>
  <si>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</si>
  <si>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</si>
  <si>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</si>
  <si>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</si>
  <si>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</si>
  <si>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</si>
  <si>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</si>
  <si>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</si>
  <si>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</si>
  <si>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</si>
  <si>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</si>
  <si>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</si>
  <si>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</si>
  <si>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</si>
  <si>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</si>
  <si>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</si>
  <si>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</si>
  <si>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</si>
  <si>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</si>
  <si>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</si>
  <si>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</si>
  <si>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</si>
  <si>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</si>
  <si>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</si>
  <si>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</si>
  <si>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</si>
  <si>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</si>
  <si>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</si>
  <si>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</si>
  <si>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</si>
  <si>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</si>
  <si>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</si>
  <si>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</si>
  <si>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</si>
  <si>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</si>
  <si>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</si>
  <si>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</si>
  <si>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</si>
  <si>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</si>
  <si>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</si>
  <si>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</si>
  <si>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</si>
  <si>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</si>
  <si>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</si>
  <si>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</si>
  <si>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</si>
  <si>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</si>
  <si>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</si>
  <si>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</si>
  <si>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</si>
  <si>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</si>
  <si>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</si>
  <si>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</si>
  <si>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</si>
  <si>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</si>
  <si>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</si>
  <si>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</si>
  <si>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</si>
  <si>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</si>
  <si>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</si>
  <si>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</si>
  <si>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</si>
  <si>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</si>
  <si>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</si>
  <si>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</si>
  <si>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</si>
  <si>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</si>
  <si>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</si>
  <si>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</si>
  <si>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</si>
  <si>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</si>
  <si>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</si>
  <si>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</si>
  <si>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</si>
  <si>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</si>
  <si>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</si>
  <si>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</si>
  <si>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</si>
  <si>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</si>
  <si>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</si>
  <si>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</si>
  <si>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</si>
  <si>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</si>
  <si>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</si>
  <si>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</si>
  <si>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</si>
  <si>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</si>
  <si>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</si>
  <si>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</si>
  <si>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</si>
  <si>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</si>
  <si>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</si>
  <si>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</si>
  <si>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</si>
  <si>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</si>
  <si>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</si>
  <si>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</si>
  <si>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</si>
  <si>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</si>
  <si>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</si>
  <si>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</si>
  <si>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</si>
  <si>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</si>
  <si>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</si>
  <si>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</si>
  <si>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</si>
  <si>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</si>
  <si>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</si>
  <si>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</si>
  <si>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</si>
  <si>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</si>
  <si>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</si>
  <si>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</si>
  <si>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</si>
  <si>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</si>
  <si>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</si>
  <si>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</si>
  <si>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</si>
  <si>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</si>
  <si>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</si>
  <si>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</si>
  <si>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</si>
  <si>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</si>
  <si>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</si>
  <si>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</si>
  <si>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</si>
  <si>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</si>
  <si>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</si>
  <si>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</si>
  <si>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</si>
  <si>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</si>
  <si>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</si>
  <si>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</si>
  <si>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</si>
  <si>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</si>
  <si>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</si>
  <si>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</si>
  <si>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</si>
  <si>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</si>
  <si>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</si>
  <si>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</si>
  <si>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</si>
  <si>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</si>
  <si>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</si>
  <si>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</si>
  <si>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</si>
  <si>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</si>
  <si>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</si>
  <si>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</si>
  <si>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</si>
  <si>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</si>
  <si>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</si>
  <si>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</si>
  <si>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</si>
  <si>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</si>
  <si>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</si>
  <si>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</si>
  <si>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</si>
  <si>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</si>
  <si>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</si>
  <si>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</si>
  <si>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</si>
  <si>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</si>
  <si>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</si>
  <si>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</si>
  <si>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</si>
  <si>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</si>
  <si>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</si>
  <si>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</si>
  <si>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</si>
  <si>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</si>
  <si>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</si>
  <si>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</si>
  <si>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</si>
  <si>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</si>
  <si>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</si>
  <si>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</si>
  <si>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</si>
  <si>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</si>
  <si>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</si>
  <si>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</si>
  <si>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</si>
  <si>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</si>
  <si>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</si>
  <si>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</si>
  <si>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</si>
  <si>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</si>
  <si>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</si>
  <si>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</si>
  <si>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</si>
  <si>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</si>
  <si>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</si>
  <si>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</si>
  <si>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</si>
  <si>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</si>
  <si>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</si>
  <si>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</si>
  <si>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</si>
  <si>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</si>
  <si>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</si>
  <si>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</si>
  <si>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</si>
  <si>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</si>
  <si>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</si>
  <si>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</si>
  <si>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</si>
  <si>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</si>
  <si>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</si>
  <si>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</si>
  <si>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</si>
  <si>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</si>
  <si>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</si>
  <si>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</si>
  <si>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</si>
  <si>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</si>
  <si>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</si>
  <si>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</si>
  <si>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</si>
  <si>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</si>
  <si>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</si>
  <si>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</si>
  <si>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</si>
  <si>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</si>
  <si>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</si>
  <si>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</si>
  <si>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</si>
  <si>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</si>
  <si>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</si>
  <si>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</si>
  <si>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</si>
  <si>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</si>
  <si>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</si>
  <si>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</si>
  <si>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</si>
  <si>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</si>
  <si>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</si>
  <si>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</si>
  <si>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</si>
  <si>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</si>
  <si>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</si>
  <si>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</si>
  <si>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</si>
  <si>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</si>
  <si>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</si>
  <si>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</si>
  <si>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</si>
  <si>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</si>
  <si>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</si>
  <si>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</si>
  <si>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</si>
  <si>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</si>
  <si>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</si>
  <si>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</si>
  <si>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</si>
  <si>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</si>
  <si>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</si>
  <si>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</si>
  <si>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</si>
  <si>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</si>
  <si>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</si>
  <si>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</si>
  <si>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</si>
  <si>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</si>
  <si>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</si>
  <si>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</si>
  <si>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</si>
  <si>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</si>
  <si>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</si>
  <si>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</si>
  <si>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</si>
  <si>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</si>
  <si>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</si>
  <si>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</si>
  <si>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</si>
  <si>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</si>
  <si>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</si>
  <si>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</si>
  <si>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</si>
  <si>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</si>
  <si>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</si>
  <si>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</si>
  <si>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</si>
  <si>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</si>
  <si>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</si>
  <si>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</si>
  <si>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</si>
  <si>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</si>
  <si>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</si>
  <si>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</si>
  <si>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</si>
  <si>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</si>
  <si>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</si>
  <si>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</si>
  <si>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</si>
  <si>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</si>
  <si>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</si>
  <si>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</si>
  <si>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</si>
  <si>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</si>
  <si>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</si>
  <si>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</si>
  <si>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</si>
  <si>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</si>
  <si>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</si>
  <si>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</si>
  <si>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</si>
  <si>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</si>
  <si>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</si>
  <si>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</si>
  <si>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</si>
  <si>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</si>
  <si>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</si>
  <si>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</si>
  <si>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</si>
  <si>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</si>
  <si>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</si>
  <si>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</si>
  <si>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</si>
  <si>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</si>
  <si>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</si>
  <si>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</si>
  <si>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</si>
  <si>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</si>
  <si>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</si>
  <si>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</si>
  <si>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</si>
  <si>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</si>
  <si>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</si>
  <si>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</si>
  <si>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</si>
  <si>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</si>
  <si>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</si>
  <si>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</si>
  <si>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</si>
  <si>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</si>
  <si>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</si>
  <si>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</si>
  <si>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</si>
  <si>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</si>
  <si>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</si>
  <si>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</si>
  <si>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</si>
  <si>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</si>
  <si>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</si>
  <si>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</si>
  <si>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</si>
  <si>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</si>
  <si>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</si>
  <si>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</si>
  <si>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</si>
  <si>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</si>
  <si>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</si>
  <si>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</si>
  <si>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</si>
  <si>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</si>
  <si>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</si>
  <si>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</si>
  <si>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</si>
  <si>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</si>
  <si>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</si>
  <si>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</si>
  <si>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</si>
  <si>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</si>
  <si>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</si>
  <si>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</si>
  <si>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</si>
  <si>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</si>
  <si>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</si>
  <si>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</si>
  <si>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</si>
  <si>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</si>
  <si>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</si>
  <si>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</si>
  <si>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</si>
  <si>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</si>
  <si>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</si>
  <si>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</si>
  <si>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</si>
  <si>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</si>
  <si>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</si>
  <si>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</si>
  <si>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</si>
  <si>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</si>
  <si>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</si>
  <si>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</si>
  <si>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</si>
  <si>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</si>
  <si>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</si>
  <si>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</si>
  <si>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</si>
  <si>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</si>
  <si>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</si>
  <si>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</si>
  <si>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</si>
  <si>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</si>
  <si>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</si>
  <si>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</si>
  <si>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</si>
  <si>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</si>
  <si>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</si>
  <si>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</si>
  <si>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</si>
  <si>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</si>
  <si>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</si>
  <si>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</si>
  <si>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</si>
  <si>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</si>
  <si>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</si>
  <si>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</si>
  <si>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</si>
  <si>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</si>
  <si>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</si>
  <si>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</si>
  <si>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</si>
  <si>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</si>
  <si>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</si>
  <si>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</si>
  <si>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</si>
  <si>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</si>
  <si>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</si>
  <si>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</si>
  <si>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</si>
  <si>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</si>
  <si>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</si>
  <si>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</si>
  <si>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</si>
  <si>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</si>
  <si>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</si>
  <si>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</si>
  <si>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</si>
  <si>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</si>
  <si>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</si>
  <si>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</si>
  <si>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</si>
  <si>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</si>
  <si>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</si>
  <si>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</si>
  <si>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</si>
  <si>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</si>
  <si>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</si>
  <si>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</si>
  <si>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</si>
  <si>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</si>
  <si>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</si>
  <si>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</si>
  <si>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</si>
  <si>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</si>
  <si>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</si>
  <si>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</si>
  <si>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</si>
  <si>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</si>
  <si>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</si>
  <si>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</si>
  <si>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</si>
  <si>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</si>
  <si>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</si>
  <si>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</si>
  <si>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</si>
  <si>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</si>
  <si>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</si>
  <si>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</si>
  <si>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</si>
  <si>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</si>
  <si>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</si>
  <si>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</si>
  <si>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</si>
  <si>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</si>
  <si>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</si>
  <si>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</si>
  <si>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</si>
  <si>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</si>
  <si>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</si>
  <si>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</si>
  <si>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</si>
  <si>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</si>
  <si>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</si>
  <si>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</si>
  <si>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</si>
  <si>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</si>
  <si>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</si>
  <si>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</si>
  <si>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</si>
  <si>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</si>
  <si>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</si>
  <si>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</si>
  <si>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</si>
  <si>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</si>
  <si>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</si>
  <si>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</si>
  <si>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</si>
  <si>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</si>
  <si>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</si>
  <si>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</si>
  <si>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</si>
  <si>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</si>
  <si>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</si>
  <si>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</si>
  <si>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</si>
  <si>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</si>
  <si>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</si>
  <si>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</si>
  <si>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</si>
  <si>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</si>
  <si>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</si>
  <si>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</si>
  <si>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</si>
  <si>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</si>
  <si>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</si>
  <si>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</si>
  <si>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</si>
  <si>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</si>
  <si>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</si>
  <si>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</si>
  <si>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</si>
  <si>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</si>
  <si>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</si>
  <si>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</si>
  <si>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</si>
  <si>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</si>
  <si>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</si>
  <si>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</si>
  <si>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</si>
  <si>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</si>
  <si>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</si>
  <si>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</si>
  <si>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</si>
  <si>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</si>
  <si>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</si>
  <si>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</si>
  <si>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</si>
  <si>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</si>
  <si>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</si>
  <si>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</si>
  <si>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</si>
  <si>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</si>
  <si>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</si>
  <si>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</si>
  <si>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</si>
  <si>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</si>
  <si>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</si>
  <si>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</si>
  <si>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</si>
  <si>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</si>
  <si>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</si>
  <si>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</si>
  <si>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</si>
  <si>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</si>
  <si>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</si>
  <si>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</si>
  <si>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</si>
  <si>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</si>
  <si>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</si>
  <si>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</si>
  <si>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</si>
  <si>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</si>
  <si>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</si>
  <si>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</si>
  <si>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</si>
  <si>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</si>
  <si>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</si>
  <si>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</si>
  <si>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</si>
  <si>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</si>
  <si>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</si>
  <si>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</si>
  <si>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</si>
  <si>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</si>
  <si>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</si>
  <si>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</si>
  <si>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</si>
  <si>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</si>
  <si>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</si>
  <si>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</si>
  <si>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</si>
  <si>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</si>
  <si>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</si>
  <si>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</si>
  <si>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</si>
  <si>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</si>
  <si>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</si>
  <si>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</si>
  <si>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</si>
  <si>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</si>
  <si>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</si>
  <si>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</si>
  <si>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</si>
  <si>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</si>
  <si>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</si>
  <si>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</si>
  <si>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</si>
  <si>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</si>
  <si>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</si>
  <si>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</si>
  <si>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</si>
  <si>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</si>
  <si>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</si>
  <si>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</si>
  <si>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</si>
  <si>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</si>
  <si>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</si>
  <si>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</si>
  <si>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</si>
  <si>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</si>
  <si>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</si>
  <si>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</si>
  <si>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</si>
  <si>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</si>
  <si>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</si>
  <si>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</si>
  <si>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</si>
  <si>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</si>
  <si>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</si>
  <si>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</si>
  <si>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</si>
  <si>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</si>
  <si>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</si>
  <si>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</si>
  <si>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</si>
  <si>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</si>
  <si>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</si>
  <si>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</si>
  <si>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</si>
  <si>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</si>
  <si>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</si>
  <si>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</si>
  <si>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</si>
  <si>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</si>
  <si>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</si>
  <si>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</si>
  <si>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</si>
  <si>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</si>
  <si>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</si>
  <si>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</si>
  <si>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</si>
  <si>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</si>
  <si>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</si>
  <si>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</si>
  <si>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</si>
  <si>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</si>
  <si>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</si>
  <si>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</si>
  <si>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</si>
  <si>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</si>
  <si>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</si>
  <si>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</si>
  <si>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</si>
  <si>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</si>
  <si>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</si>
  <si>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</si>
  <si>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</si>
  <si>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</si>
  <si>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</si>
  <si>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</si>
  <si>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</si>
  <si>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</si>
  <si>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</si>
  <si>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</si>
  <si>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</si>
  <si>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</si>
  <si>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</si>
  <si>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</si>
  <si>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</si>
  <si>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</si>
  <si>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</si>
  <si>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</si>
  <si>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</si>
  <si>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</si>
  <si>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</si>
  <si>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</si>
  <si>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</si>
  <si>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</si>
  <si>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</si>
  <si>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</si>
  <si>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</si>
  <si>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</si>
  <si>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</si>
  <si>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</si>
  <si>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</si>
  <si>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</si>
  <si>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</si>
  <si>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</si>
  <si>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</si>
  <si>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</si>
  <si>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</si>
  <si>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</si>
  <si>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</si>
  <si>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</si>
  <si>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</si>
  <si>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</si>
  <si>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</si>
  <si>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</si>
  <si>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</si>
  <si>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</si>
  <si>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</si>
  <si>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</si>
  <si>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</si>
  <si>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</si>
  <si>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</si>
  <si>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</si>
  <si>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</si>
  <si>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</si>
  <si>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</si>
  <si>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</si>
  <si>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</si>
  <si>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</si>
  <si>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</si>
  <si>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</si>
  <si>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</si>
  <si>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</si>
  <si>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</si>
  <si>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</si>
  <si>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</si>
  <si>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</si>
  <si>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</si>
  <si>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</si>
  <si>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</si>
  <si>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</si>
  <si>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</si>
  <si>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</si>
  <si>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</si>
  <si>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</si>
  <si>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</si>
  <si>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</si>
  <si>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</si>
  <si>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</si>
  <si>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</si>
  <si>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</si>
  <si>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</si>
  <si>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</si>
  <si>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</si>
  <si>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</si>
  <si>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</si>
  <si>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</si>
  <si>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</si>
  <si>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</si>
  <si>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</si>
  <si>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</si>
  <si>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</si>
  <si>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</si>
  <si>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</si>
  <si>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</si>
  <si>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</si>
  <si>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</si>
  <si>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</si>
  <si>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</si>
  <si>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</si>
  <si>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</si>
  <si>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</si>
  <si>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</si>
  <si>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</si>
  <si>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</si>
  <si>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</si>
  <si>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</si>
  <si>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</si>
  <si>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</si>
  <si>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</si>
  <si>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</si>
  <si>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</si>
  <si>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</si>
  <si>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</si>
  <si>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</si>
  <si>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</si>
  <si>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</si>
  <si>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</si>
  <si>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</si>
  <si>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</si>
  <si>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</si>
  <si>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</si>
  <si>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</si>
  <si>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</si>
  <si>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</si>
  <si>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</si>
  <si>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</si>
  <si>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</si>
  <si>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</si>
  <si>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</si>
  <si>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</si>
  <si>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</si>
  <si>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</si>
  <si>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</si>
  <si>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</si>
  <si>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</si>
  <si>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</si>
  <si>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</si>
  <si>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</si>
  <si>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</si>
  <si>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</si>
  <si>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</si>
  <si>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</si>
  <si>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</si>
  <si>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</si>
  <si>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</si>
  <si>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</si>
  <si>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</si>
  <si>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</si>
  <si>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</si>
  <si>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</si>
  <si>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</si>
  <si>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</si>
  <si>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</si>
  <si>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</si>
  <si>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</si>
  <si>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</si>
  <si>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</si>
  <si>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</si>
  <si>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</si>
  <si>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</si>
  <si>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</si>
  <si>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</si>
  <si>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</si>
  <si>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</si>
  <si>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</si>
  <si>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</si>
  <si>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</si>
  <si>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</si>
  <si>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</si>
  <si>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</si>
  <si>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</si>
  <si>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</si>
  <si>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</si>
  <si>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</si>
  <si>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</si>
  <si>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</si>
  <si>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</si>
  <si>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</si>
  <si>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</si>
  <si>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</si>
  <si>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</si>
  <si>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</si>
  <si>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</si>
  <si>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</si>
  <si>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</si>
  <si>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</si>
  <si>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</si>
  <si>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</si>
  <si>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</si>
  <si>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</si>
  <si>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</si>
  <si>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</si>
  <si>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</si>
  <si>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</si>
  <si>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</si>
  <si>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</si>
  <si>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</si>
  <si>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</si>
  <si>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</si>
  <si>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</si>
  <si>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</si>
  <si>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</si>
  <si>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</si>
  <si>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</si>
  <si>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</si>
  <si>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</si>
  <si>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</si>
  <si>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</si>
  <si>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</si>
  <si>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</si>
  <si>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</si>
  <si>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</si>
  <si>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</si>
  <si>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</si>
  <si>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</si>
  <si>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</si>
  <si>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</si>
  <si>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</si>
  <si>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</si>
  <si>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</si>
  <si>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</si>
  <si>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</si>
  <si>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</si>
  <si>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</si>
  <si>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</si>
  <si>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</si>
  <si>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</si>
  <si>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</si>
  <si>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</si>
  <si>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</si>
  <si>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</si>
  <si>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</si>
  <si>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</si>
  <si>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</si>
  <si>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</si>
  <si>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</si>
  <si>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</si>
  <si>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</si>
  <si>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</si>
  <si>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</si>
  <si>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</si>
  <si>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</si>
  <si>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</si>
  <si>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</si>
  <si>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</si>
  <si>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</si>
  <si>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</si>
  <si>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</si>
  <si>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</si>
  <si>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</si>
  <si>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</si>
  <si>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</si>
  <si>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</si>
  <si>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</si>
  <si>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</si>
  <si>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</si>
  <si>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</si>
  <si>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</si>
  <si>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</si>
  <si>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</si>
  <si>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</si>
  <si>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</si>
  <si>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</si>
  <si>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</si>
  <si>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</si>
  <si>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</si>
  <si>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</si>
  <si>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</si>
  <si>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</si>
  <si>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</si>
  <si>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</si>
  <si>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</si>
  <si>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</si>
  <si>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</si>
  <si>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</si>
  <si>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</si>
  <si>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</si>
  <si>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</si>
  <si>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</si>
  <si>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</si>
  <si>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</si>
  <si>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</si>
  <si>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</si>
  <si>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</si>
  <si>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</si>
  <si>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</si>
  <si>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</si>
  <si>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</si>
  <si>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</si>
  <si>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</si>
  <si>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</si>
  <si>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</si>
  <si>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</si>
  <si>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</si>
  <si>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</si>
  <si>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</si>
  <si>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</si>
  <si>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</si>
  <si>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</si>
  <si>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</si>
  <si>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</si>
  <si>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</si>
  <si>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</si>
  <si>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</si>
  <si>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</si>
  <si>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</si>
  <si>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</si>
  <si>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</si>
  <si>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</si>
  <si>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</si>
  <si>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</si>
  <si>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</si>
  <si>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</si>
  <si>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</si>
  <si>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</si>
  <si>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</si>
  <si>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</si>
  <si>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</si>
  <si>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</si>
  <si>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</si>
  <si>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</si>
  <si>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</si>
  <si>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</si>
  <si>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</si>
  <si>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</si>
  <si>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</si>
  <si>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</si>
  <si>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</si>
  <si>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</si>
  <si>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</si>
  <si>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</si>
  <si>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</si>
  <si>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</si>
  <si>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</si>
  <si>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</si>
  <si>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</si>
  <si>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</si>
  <si>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</si>
  <si>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</si>
  <si>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</si>
  <si>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</si>
  <si>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</si>
  <si>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</si>
  <si>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</si>
  <si>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</si>
  <si>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</si>
  <si>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</si>
  <si>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</si>
  <si>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</si>
  <si>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</si>
  <si>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</si>
  <si>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</si>
  <si>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</si>
  <si>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</si>
  <si>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</si>
  <si>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</si>
  <si>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</si>
  <si>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</si>
  <si>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</si>
  <si>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</si>
  <si>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</si>
  <si>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</si>
  <si>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</si>
  <si>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</si>
  <si>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</si>
  <si>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</si>
  <si>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</si>
  <si>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</si>
  <si>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</si>
  <si>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</si>
  <si>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</si>
  <si>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</si>
  <si>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</si>
  <si>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</si>
  <si>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</si>
  <si>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</si>
  <si>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</si>
  <si>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</si>
  <si>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</si>
  <si>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</si>
  <si>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</si>
  <si>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</si>
  <si>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</si>
  <si>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</si>
  <si>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</si>
  <si>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</si>
  <si>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</si>
  <si>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</si>
  <si>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</si>
  <si>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</si>
  <si>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</si>
  <si>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</si>
  <si>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</si>
  <si>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</si>
  <si>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</si>
  <si>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</si>
  <si>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</si>
  <si>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</si>
  <si>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</si>
  <si>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</si>
  <si>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</si>
  <si>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</si>
  <si>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</si>
  <si>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</si>
  <si>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</si>
  <si>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</si>
  <si>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</si>
  <si>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</si>
  <si>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</si>
  <si>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</si>
  <si>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</si>
  <si>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</si>
  <si>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</si>
  <si>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</si>
  <si>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</si>
  <si>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</si>
  <si>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</si>
  <si>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</si>
  <si>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</si>
  <si>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</si>
  <si>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</si>
  <si>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</si>
  <si>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</si>
  <si>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</si>
  <si>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</si>
  <si>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</si>
  <si>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</si>
  <si>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</si>
  <si>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</si>
  <si>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</si>
  <si>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</si>
  <si>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</si>
  <si>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</si>
  <si>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</si>
  <si>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</si>
  <si>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</si>
  <si>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</si>
  <si>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</si>
  <si>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</si>
  <si>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</si>
  <si>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</si>
  <si>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</si>
  <si>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</si>
  <si>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</si>
  <si>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</si>
  <si>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</si>
  <si>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</si>
  <si>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</si>
  <si>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</si>
  <si>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</si>
  <si>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</si>
  <si>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</si>
  <si>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</si>
  <si>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</si>
  <si>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</si>
  <si>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</si>
  <si>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</si>
  <si>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</si>
  <si>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</si>
  <si>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</si>
  <si>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</si>
  <si>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</si>
  <si>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</si>
  <si>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</si>
  <si>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</si>
  <si>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</si>
  <si>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</si>
  <si>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</si>
  <si>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</si>
  <si>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</si>
  <si>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</si>
  <si>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</si>
  <si>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</si>
  <si>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</si>
  <si>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</si>
  <si>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</si>
  <si>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</si>
  <si>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</si>
  <si>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</si>
  <si>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</si>
  <si>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</si>
  <si>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</si>
  <si>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</si>
  <si>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</si>
  <si>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</si>
  <si>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</si>
  <si>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</si>
  <si>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</si>
  <si>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</si>
  <si>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</si>
  <si>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</si>
  <si>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</si>
  <si>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</si>
  <si>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</si>
  <si>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</si>
  <si>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</si>
  <si>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</si>
  <si>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</si>
  <si>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</si>
  <si>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</si>
  <si>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</si>
  <si>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</si>
  <si>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</si>
  <si>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</si>
  <si>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</si>
  <si>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</si>
  <si>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</si>
  <si>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</si>
  <si>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</si>
  <si>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</si>
  <si>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</si>
  <si>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</si>
  <si>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</si>
  <si>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</si>
  <si>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</si>
  <si>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</si>
  <si>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</si>
  <si>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</si>
  <si>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</si>
  <si>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</si>
  <si>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</si>
  <si>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</si>
  <si>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</si>
  <si>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</si>
  <si>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</si>
  <si>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</si>
  <si>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</si>
  <si>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</si>
  <si>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</si>
  <si>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</si>
  <si>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</si>
  <si>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</si>
  <si>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</si>
  <si>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</si>
  <si>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</si>
  <si>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</si>
  <si>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</si>
  <si>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</si>
  <si>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</si>
  <si>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</si>
  <si>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</si>
  <si>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</si>
  <si>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</si>
  <si>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</si>
  <si>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</si>
  <si>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</si>
  <si>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</si>
  <si>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</si>
  <si>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</si>
  <si>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</si>
  <si>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</si>
  <si>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</si>
  <si>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</si>
  <si>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</si>
  <si>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</si>
  <si>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</si>
  <si>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</si>
  <si>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</si>
  <si>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</si>
  <si>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</si>
  <si>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</si>
  <si>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</si>
  <si>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</si>
  <si>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</si>
  <si>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</si>
  <si>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</si>
  <si>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</si>
  <si>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</si>
  <si>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</si>
  <si>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</si>
  <si>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</si>
  <si>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</si>
  <si>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</si>
  <si>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</si>
  <si>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</si>
  <si>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</si>
  <si>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</si>
  <si>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</si>
  <si>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</si>
  <si>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</si>
  <si>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</si>
  <si>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</si>
  <si>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</si>
  <si>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</si>
  <si>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</si>
  <si>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</si>
  <si>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</si>
  <si>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</si>
  <si>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</si>
  <si>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</si>
  <si>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</si>
  <si>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</si>
  <si>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</si>
  <si>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</si>
  <si>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</si>
  <si>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</si>
  <si>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</si>
  <si>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</si>
  <si>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</si>
  <si>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</si>
  <si>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</si>
  <si>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</si>
  <si>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</si>
  <si>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</si>
  <si>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</si>
  <si>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</si>
  <si>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</si>
  <si>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</si>
  <si>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</si>
  <si>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</si>
  <si>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</si>
  <si>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</si>
  <si>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</si>
  <si>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</si>
  <si>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</si>
  <si>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</si>
  <si>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</si>
  <si>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</si>
  <si>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</si>
  <si>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</si>
  <si>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</si>
  <si>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</si>
  <si>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</si>
  <si>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</si>
  <si>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</si>
  <si>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</si>
  <si>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</si>
  <si>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</si>
  <si>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</si>
  <si>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</si>
  <si>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</si>
  <si>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</si>
  <si>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</si>
  <si>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</si>
  <si>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</si>
  <si>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</si>
  <si>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</si>
  <si>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</si>
  <si>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</si>
  <si>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</si>
  <si>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</si>
  <si>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</si>
  <si>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</si>
  <si>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</si>
  <si>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</si>
  <si>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</si>
  <si>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</si>
  <si>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</si>
  <si>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</si>
  <si>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</si>
  <si>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</si>
  <si>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</si>
  <si>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</si>
  <si>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</si>
  <si>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</si>
  <si>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</si>
  <si>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</si>
  <si>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</si>
  <si>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</si>
  <si>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</si>
  <si>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</si>
  <si>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</si>
  <si>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</si>
  <si>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</si>
  <si>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</si>
  <si>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</si>
  <si>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</si>
  <si>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</si>
  <si>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</si>
  <si>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</si>
  <si>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</si>
  <si>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</si>
  <si>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</si>
  <si>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</si>
  <si>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</si>
  <si>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</si>
  <si>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</si>
  <si>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</si>
  <si>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</si>
  <si>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</si>
  <si>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</si>
  <si>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</si>
  <si>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</si>
  <si>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</si>
  <si>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</si>
  <si>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</si>
  <si>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</si>
  <si>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</si>
  <si>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</si>
  <si>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</si>
  <si>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</si>
  <si>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</si>
  <si>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</si>
  <si>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</si>
  <si>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</si>
  <si>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</si>
  <si>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</si>
  <si>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</si>
  <si>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</si>
  <si>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</si>
  <si>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</si>
  <si>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</si>
  <si>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</si>
  <si>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</si>
  <si>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</si>
  <si>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</si>
  <si>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</si>
  <si>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</si>
  <si>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</si>
  <si>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</si>
  <si>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</si>
  <si>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</si>
  <si>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</si>
  <si>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</si>
  <si>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</si>
  <si>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</si>
  <si>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</si>
  <si>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</si>
  <si>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</si>
  <si>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</si>
  <si>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</si>
  <si>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</si>
  <si>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</si>
  <si>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</si>
  <si>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</si>
  <si>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</si>
  <si>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</si>
  <si>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</si>
  <si>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</si>
  <si>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</si>
  <si>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</si>
  <si>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</si>
  <si>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</si>
  <si>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</si>
  <si>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</si>
  <si>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</si>
  <si>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</si>
  <si>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</si>
  <si>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</si>
  <si>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</si>
  <si>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</si>
  <si>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</si>
  <si>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</si>
  <si>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</si>
  <si>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</si>
  <si>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</si>
  <si>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</si>
  <si>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</si>
  <si>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</si>
  <si>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</si>
  <si>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</si>
  <si>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</si>
  <si>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</si>
  <si>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</si>
  <si>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</si>
  <si>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</si>
  <si>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</si>
  <si>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</si>
  <si>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</si>
  <si>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</si>
  <si>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</si>
  <si>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</si>
  <si>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</si>
  <si>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</si>
  <si>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</si>
  <si>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</si>
  <si>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</si>
  <si>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</si>
  <si>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</si>
  <si>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</si>
  <si>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</si>
  <si>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</si>
  <si>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</si>
  <si>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</si>
  <si>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</si>
  <si>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</si>
  <si>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</si>
  <si>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</si>
  <si>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</si>
  <si>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</si>
  <si>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</si>
  <si>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</si>
  <si>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</si>
  <si>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</si>
  <si>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</si>
  <si>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</si>
  <si>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</si>
  <si>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</si>
  <si>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</si>
  <si>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</si>
  <si>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</si>
  <si>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</si>
  <si>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</si>
  <si>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</si>
  <si>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</si>
  <si>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</si>
  <si>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</si>
  <si>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</si>
  <si>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</si>
  <si>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</si>
  <si>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</si>
  <si>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</si>
  <si>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</si>
  <si>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</si>
  <si>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</si>
  <si>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</si>
  <si>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</si>
  <si>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</si>
  <si>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</si>
  <si>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</si>
  <si>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</si>
  <si>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</si>
  <si>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</si>
  <si>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</si>
  <si>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</si>
  <si>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</si>
  <si>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</si>
  <si>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</si>
  <si>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</si>
  <si>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</si>
  <si>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</si>
  <si>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</si>
  <si>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</si>
  <si>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</si>
  <si>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</si>
  <si>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</si>
  <si>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</si>
  <si>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</si>
  <si>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</si>
  <si>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</si>
  <si>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</si>
  <si>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</si>
  <si>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</si>
  <si>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</si>
  <si>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</si>
  <si>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</si>
  <si>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</si>
  <si>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</si>
  <si>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</si>
  <si>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</si>
  <si>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</si>
  <si>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</si>
  <si>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</si>
  <si>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</si>
  <si>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</si>
  <si>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</si>
  <si>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</si>
  <si>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</si>
  <si>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</si>
  <si>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</si>
  <si>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</si>
  <si>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</si>
  <si>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</si>
  <si>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</si>
  <si>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</si>
  <si>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</si>
  <si>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</si>
  <si>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</si>
  <si>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</si>
  <si>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</si>
  <si>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</si>
  <si>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</si>
  <si>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</si>
  <si>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</si>
  <si>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</si>
  <si>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</si>
  <si>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</si>
  <si>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</si>
  <si>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</si>
  <si>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</si>
  <si>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</si>
  <si>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</si>
  <si>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</si>
  <si>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</si>
  <si>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</si>
  <si>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</si>
  <si>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</si>
  <si>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</si>
  <si>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</si>
  <si>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</si>
  <si>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</si>
  <si>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</si>
  <si>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</si>
  <si>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</si>
  <si>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</si>
  <si>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</si>
  <si>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</si>
  <si>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</si>
  <si>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</si>
  <si>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</si>
  <si>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</si>
  <si>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</si>
  <si>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</si>
  <si>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</si>
  <si>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</si>
  <si>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</si>
  <si>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</si>
  <si>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</si>
  <si>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</si>
  <si>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</si>
  <si>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</si>
  <si>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</si>
  <si>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</si>
  <si>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</si>
  <si>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</si>
  <si>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</si>
  <si>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</si>
  <si>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</si>
  <si>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</si>
  <si>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</si>
  <si>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</si>
  <si>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</si>
  <si>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</si>
  <si>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</si>
  <si>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</si>
  <si>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</si>
  <si>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</si>
  <si>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</si>
  <si>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</si>
  <si>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</si>
  <si>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</si>
  <si>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</si>
  <si>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</si>
  <si>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</si>
  <si>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</si>
  <si>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</si>
  <si>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</si>
  <si>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</si>
  <si>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</si>
  <si>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</si>
  <si>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</si>
  <si>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</si>
  <si>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</si>
  <si>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</si>
  <si>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</si>
  <si>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</si>
  <si>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</si>
  <si>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</si>
  <si>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</si>
  <si>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</si>
  <si>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</si>
  <si>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</si>
  <si>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</si>
  <si>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</si>
  <si>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</si>
  <si>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</si>
  <si>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</si>
  <si>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</si>
  <si>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</si>
  <si>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</si>
  <si>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</si>
  <si>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</si>
  <si>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</si>
  <si>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</si>
  <si>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</si>
  <si>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</si>
  <si>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</si>
  <si>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</si>
  <si>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</si>
  <si>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</si>
  <si>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</si>
  <si>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</si>
  <si>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</si>
  <si>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</si>
  <si>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</si>
  <si>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</si>
  <si>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</si>
  <si>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</si>
  <si>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</si>
  <si>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</si>
  <si>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</si>
  <si>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</si>
  <si>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</si>
  <si>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</si>
  <si>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</si>
  <si>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</si>
  <si>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</si>
  <si>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</si>
  <si>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</si>
  <si>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</si>
  <si>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</si>
  <si>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</si>
  <si>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</si>
  <si>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</si>
  <si>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</si>
  <si>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</si>
  <si>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</si>
  <si>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</si>
  <si>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</si>
  <si>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</si>
  <si>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</si>
  <si>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</si>
  <si>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</si>
  <si>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</si>
  <si>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</si>
  <si>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</si>
  <si>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</si>
  <si>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</si>
  <si>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</si>
  <si>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</si>
  <si>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</si>
  <si>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</si>
  <si>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</si>
  <si>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</si>
  <si>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</si>
  <si>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</si>
  <si>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</si>
  <si>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</si>
  <si>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</si>
  <si>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</si>
  <si>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</si>
  <si>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</si>
  <si>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</si>
  <si>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</si>
  <si>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</si>
  <si>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</si>
  <si>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</si>
  <si>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</si>
  <si>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</si>
  <si>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</si>
  <si>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</si>
  <si>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</si>
  <si>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</si>
  <si>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</si>
  <si>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</si>
  <si>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</si>
  <si>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</si>
  <si>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</si>
  <si>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</si>
  <si>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</si>
  <si>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</si>
  <si>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</si>
  <si>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</si>
  <si>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</si>
  <si>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</si>
  <si>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</si>
  <si>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</si>
  <si>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</si>
  <si>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</si>
  <si>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</si>
  <si>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</si>
  <si>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</si>
  <si>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</si>
  <si>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</si>
  <si>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</si>
  <si>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</si>
  <si>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</si>
  <si>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</si>
  <si>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</si>
  <si>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</si>
  <si>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</si>
  <si>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</si>
  <si>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</si>
  <si>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</si>
  <si>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</si>
  <si>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</si>
  <si>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</si>
  <si>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</si>
  <si>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</si>
  <si>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</si>
  <si>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</si>
  <si>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</si>
  <si>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</si>
  <si>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</si>
  <si>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</si>
  <si>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</si>
  <si>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</si>
  <si>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</si>
  <si>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</si>
  <si>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</si>
  <si>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</si>
  <si>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</si>
  <si>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</si>
  <si>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</si>
  <si>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</si>
  <si>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</si>
  <si>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</si>
  <si>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</si>
  <si>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</si>
  <si>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</si>
  <si>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</si>
  <si>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</si>
  <si>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</si>
  <si>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</si>
  <si>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</si>
  <si>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</si>
  <si>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</si>
  <si>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</si>
  <si>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</si>
  <si>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</si>
  <si>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</si>
  <si>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</si>
  <si>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</si>
  <si>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</si>
  <si>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</si>
  <si>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</si>
  <si>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</si>
  <si>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</si>
  <si>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</si>
  <si>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</si>
  <si>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</si>
  <si>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</si>
  <si>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</si>
  <si>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</si>
  <si>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</si>
  <si>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</si>
  <si>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</si>
  <si>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</si>
  <si>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</si>
  <si>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</si>
  <si>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</si>
  <si>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</si>
  <si>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</si>
  <si>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</si>
  <si>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</si>
  <si>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</si>
  <si>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</si>
  <si>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</si>
  <si>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</si>
  <si>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</si>
  <si>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</si>
  <si>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</si>
  <si>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</si>
  <si>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</si>
  <si>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</si>
  <si>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</si>
  <si>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</si>
  <si>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</si>
  <si>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</si>
  <si>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</si>
  <si>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</si>
  <si>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</si>
  <si>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</si>
  <si>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</si>
  <si>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</si>
  <si>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</si>
  <si>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</si>
  <si>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</si>
  <si>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</si>
  <si>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</si>
  <si>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</si>
  <si>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</si>
  <si>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</si>
  <si>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</si>
  <si>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</si>
  <si>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</si>
  <si>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</si>
  <si>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</si>
  <si>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</si>
  <si>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</si>
  <si>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</si>
  <si>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</si>
  <si>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</si>
  <si>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</si>
  <si>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</si>
  <si>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</si>
  <si>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</si>
  <si>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</si>
  <si>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</si>
  <si>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</si>
  <si>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</si>
  <si>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</si>
  <si>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</si>
  <si>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</si>
  <si>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</si>
  <si>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</si>
  <si>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</si>
  <si>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</si>
  <si>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</si>
  <si>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</si>
  <si>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</si>
  <si>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</si>
  <si>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</si>
  <si>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</si>
  <si>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</si>
  <si>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</si>
  <si>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</si>
  <si>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</si>
  <si>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</si>
  <si>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</si>
  <si>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</si>
  <si>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</si>
  <si>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</si>
  <si>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</si>
  <si>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</si>
  <si>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</si>
  <si>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</si>
  <si>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</si>
  <si>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</si>
  <si>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</si>
  <si>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</si>
  <si>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</si>
  <si>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</si>
  <si>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</si>
  <si>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</si>
  <si>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</si>
  <si>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</si>
  <si>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</si>
  <si>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</si>
  <si>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</si>
  <si>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</si>
  <si>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</si>
  <si>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</si>
  <si>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</si>
  <si>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</si>
  <si>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</si>
  <si>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</si>
  <si>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</si>
  <si>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</si>
  <si>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</si>
  <si>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</si>
  <si>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</si>
  <si>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</si>
  <si>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</si>
  <si>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</si>
  <si>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</si>
  <si>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</si>
  <si>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</si>
  <si>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</si>
  <si>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</si>
  <si>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</si>
  <si>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</si>
  <si>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</si>
  <si>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</si>
  <si>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</si>
  <si>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</si>
  <si>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</si>
  <si>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</si>
  <si>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</si>
  <si>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</si>
  <si>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</si>
  <si>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</si>
  <si>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</si>
  <si>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</si>
  <si>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</si>
  <si>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</si>
  <si>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</si>
  <si>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</si>
  <si>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</si>
  <si>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</si>
  <si>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</si>
  <si>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</si>
  <si>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</si>
  <si>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</si>
  <si>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</si>
  <si>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</si>
  <si>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</si>
  <si>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</si>
  <si>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</si>
  <si>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</si>
  <si>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</si>
  <si>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</si>
  <si>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</si>
  <si>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</si>
  <si>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</si>
  <si>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</si>
  <si>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</si>
  <si>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</si>
  <si>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</si>
  <si>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</si>
  <si>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</si>
  <si>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</si>
  <si>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</si>
  <si>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</si>
  <si>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</si>
  <si>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</si>
  <si>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</si>
  <si>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</si>
  <si>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</si>
  <si>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</si>
  <si>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</si>
  <si>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</si>
  <si>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</si>
  <si>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</si>
  <si>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</si>
  <si>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</si>
  <si>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</si>
  <si>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</si>
  <si>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</si>
  <si>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</si>
  <si>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</si>
  <si>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</si>
  <si>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</si>
  <si>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</si>
  <si>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</si>
  <si>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</si>
  <si>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</si>
  <si>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</si>
  <si>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</si>
  <si>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</si>
  <si>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</si>
  <si>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</si>
  <si>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</si>
  <si>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</si>
  <si>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</si>
  <si>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</si>
  <si>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</si>
  <si>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</si>
  <si>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</si>
  <si>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</si>
  <si>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</si>
  <si>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</si>
  <si>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</si>
  <si>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</si>
  <si>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</si>
  <si>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</si>
  <si>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</si>
  <si>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</si>
  <si>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</si>
  <si>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</si>
  <si>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</si>
  <si>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</si>
  <si>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</si>
  <si>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</si>
  <si>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</si>
  <si>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</si>
  <si>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</si>
  <si>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</si>
  <si>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</si>
  <si>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</si>
  <si>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</si>
  <si>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</si>
  <si>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</si>
  <si>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</si>
  <si>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</si>
  <si>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</si>
  <si>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</si>
  <si>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</si>
  <si>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</si>
  <si>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</si>
  <si>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</si>
  <si>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</si>
  <si>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</si>
  <si>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</si>
  <si>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</si>
  <si>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</si>
  <si>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</si>
  <si>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</si>
  <si>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</si>
  <si>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</si>
  <si>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</si>
  <si>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</si>
  <si>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</si>
  <si>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</si>
  <si>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</si>
  <si>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</si>
  <si>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</si>
  <si>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</si>
  <si>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</si>
  <si>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</si>
  <si>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</si>
  <si>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</si>
  <si>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</si>
  <si>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</si>
  <si>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</si>
  <si>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</si>
  <si>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</si>
  <si>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</si>
  <si>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</si>
  <si>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</si>
  <si>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</si>
  <si>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</si>
  <si>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</si>
  <si>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</si>
  <si>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</si>
  <si>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</si>
  <si>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</si>
  <si>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</si>
  <si>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</si>
  <si>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</si>
  <si>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</si>
  <si>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</si>
  <si>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</si>
  <si>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</si>
  <si>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</si>
  <si>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</si>
  <si>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</si>
  <si>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</si>
  <si>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</si>
  <si>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</si>
  <si>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</si>
  <si>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</si>
  <si>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</si>
  <si>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</si>
  <si>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</si>
  <si>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</si>
  <si>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</si>
  <si>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</si>
  <si>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</si>
  <si>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</si>
  <si>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</si>
  <si>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</si>
  <si>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</si>
  <si>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</si>
  <si>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</si>
  <si>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</si>
  <si>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</si>
  <si>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</si>
  <si>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</si>
  <si>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</si>
  <si>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</si>
  <si>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</si>
  <si>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</si>
  <si>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</si>
  <si>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</si>
  <si>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</si>
  <si>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</si>
  <si>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</si>
  <si>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</si>
  <si>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</si>
  <si>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</si>
  <si>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</si>
  <si>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</si>
  <si>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</si>
  <si>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</si>
  <si>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</si>
  <si>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</si>
  <si>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</si>
  <si>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</si>
  <si>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</si>
  <si>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</si>
  <si>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</si>
  <si>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</si>
  <si>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</si>
  <si>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</si>
  <si>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</si>
  <si>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</si>
  <si>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</si>
  <si>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</si>
  <si>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</si>
  <si>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</si>
  <si>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</si>
  <si>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</si>
  <si>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</si>
  <si>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</si>
  <si>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</si>
  <si>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</si>
  <si>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</si>
  <si>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</si>
  <si>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</si>
  <si>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</si>
  <si>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</si>
  <si>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</si>
  <si>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</si>
  <si>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</si>
  <si>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</si>
  <si>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</si>
  <si>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</si>
  <si>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</si>
  <si>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</si>
  <si>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</si>
  <si>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</si>
  <si>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</si>
  <si>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</si>
  <si>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</si>
  <si>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</si>
  <si>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</si>
  <si>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</si>
  <si>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</si>
  <si>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</si>
  <si>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</si>
  <si>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</si>
  <si>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</si>
  <si>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</si>
  <si>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</si>
  <si>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</si>
  <si>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</si>
  <si>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</si>
  <si>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</si>
  <si>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</si>
  <si>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</si>
  <si>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</si>
  <si>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</si>
  <si>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</si>
  <si>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</si>
  <si>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</si>
  <si>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</si>
  <si>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</si>
  <si>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</si>
  <si>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</si>
  <si>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</si>
  <si>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</si>
  <si>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</si>
  <si>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</si>
  <si>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</si>
  <si>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</si>
  <si>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</si>
  <si>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</si>
  <si>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</si>
  <si>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</si>
  <si>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</si>
  <si>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</si>
  <si>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</si>
  <si>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</si>
  <si>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</si>
  <si>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</si>
  <si>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</si>
  <si>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</si>
  <si>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</si>
  <si>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</si>
  <si>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</si>
  <si>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</si>
  <si>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</si>
  <si>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</si>
  <si>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</si>
  <si>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</si>
  <si>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</si>
  <si>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</si>
  <si>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</si>
  <si>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</si>
  <si>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</si>
  <si>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</si>
  <si>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</si>
  <si>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</si>
  <si>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</si>
  <si>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</si>
  <si>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</si>
  <si>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</si>
  <si>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</si>
  <si>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</si>
  <si>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</si>
  <si>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</si>
  <si>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</si>
  <si>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</si>
  <si>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</si>
  <si>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</si>
  <si>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</si>
  <si>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</si>
  <si>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</si>
  <si>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</si>
  <si>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</si>
  <si>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</si>
  <si>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</si>
  <si>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</si>
  <si>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</si>
  <si>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</si>
  <si>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</si>
  <si>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</si>
  <si>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</si>
  <si>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</si>
  <si>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</si>
  <si>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</si>
  <si>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</si>
  <si>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</si>
  <si>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</si>
  <si>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</si>
  <si>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</si>
  <si>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</si>
  <si>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</si>
  <si>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</si>
  <si>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</si>
  <si>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</si>
  <si>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</si>
  <si>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</si>
  <si>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</si>
  <si>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</si>
  <si>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</si>
  <si>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</si>
  <si>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</si>
  <si>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</si>
  <si>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</si>
  <si>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</si>
  <si>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</si>
  <si>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</si>
  <si>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</si>
  <si>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</si>
  <si>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</si>
  <si>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</si>
  <si>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</si>
  <si>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</si>
  <si>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</si>
  <si>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</si>
  <si>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</si>
  <si>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</si>
  <si>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</si>
  <si>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</si>
  <si>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</si>
  <si>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</si>
  <si>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</si>
  <si>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</si>
  <si>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</si>
  <si>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</si>
  <si>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</si>
  <si>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</si>
  <si>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</si>
  <si>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</si>
  <si>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</si>
  <si>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</si>
  <si>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</si>
  <si>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</si>
  <si>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</si>
  <si>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</si>
  <si>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</si>
  <si>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</si>
  <si>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</si>
  <si>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</si>
  <si>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</si>
  <si>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</si>
  <si>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</si>
  <si>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</si>
  <si>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</si>
  <si>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</si>
  <si>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</si>
  <si>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</si>
  <si>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</si>
  <si>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</si>
  <si>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</si>
  <si>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</si>
  <si>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</si>
  <si>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</si>
  <si>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</si>
  <si>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</si>
  <si>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</si>
  <si>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</si>
  <si>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</si>
  <si>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</si>
  <si>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</si>
  <si>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</si>
  <si>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</si>
  <si>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</si>
  <si>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</si>
  <si>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</si>
  <si>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</si>
  <si>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</si>
  <si>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</si>
  <si>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</si>
  <si>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</si>
  <si>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</si>
  <si>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</si>
  <si>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</si>
  <si>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</si>
  <si>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</si>
  <si>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</si>
  <si>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</si>
  <si>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</si>
  <si>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</si>
  <si>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</si>
  <si>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</si>
  <si>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</si>
  <si>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</si>
  <si>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</si>
  <si>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</si>
  <si>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</si>
  <si>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</si>
  <si>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</si>
  <si>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</si>
  <si>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</si>
  <si>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</si>
  <si>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</si>
  <si>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</si>
  <si>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</si>
  <si>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</si>
  <si>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</si>
  <si>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</si>
  <si>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</si>
  <si>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</si>
  <si>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</si>
  <si>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</si>
  <si>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</si>
  <si>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</si>
  <si>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</si>
  <si>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</si>
  <si>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</si>
  <si>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</si>
  <si>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</si>
  <si>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</si>
  <si>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</si>
  <si>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</si>
  <si>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</si>
  <si>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</si>
  <si>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</si>
  <si>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</si>
  <si>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</si>
  <si>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</si>
  <si>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</si>
  <si>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</si>
  <si>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</si>
  <si>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</si>
  <si>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</si>
  <si>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</si>
  <si>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</si>
  <si>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</si>
  <si>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</si>
  <si>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</si>
  <si>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</si>
  <si>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</si>
  <si>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</si>
  <si>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</si>
  <si>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</si>
  <si>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</si>
  <si>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</si>
  <si>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</si>
  <si>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</si>
  <si>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</si>
  <si>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</si>
  <si>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</si>
  <si>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</si>
  <si>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</si>
  <si>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</si>
  <si>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</si>
  <si>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</si>
  <si>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</si>
  <si>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</si>
  <si>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</si>
  <si>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</si>
  <si>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</si>
  <si>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</si>
  <si>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</si>
  <si>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</si>
  <si>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</si>
  <si>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</si>
  <si>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</si>
  <si>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</si>
  <si>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</si>
  <si>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</si>
  <si>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</si>
  <si>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</si>
  <si>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</si>
  <si>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</si>
  <si>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</si>
  <si>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</si>
  <si>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</si>
  <si>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</si>
  <si>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</si>
  <si>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</si>
  <si>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</si>
  <si>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</si>
  <si>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</si>
  <si>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</si>
  <si>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</si>
  <si>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</si>
  <si>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</si>
  <si>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</si>
  <si>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</si>
  <si>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</si>
  <si>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</si>
  <si>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</si>
  <si>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</si>
  <si>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</si>
  <si>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</si>
  <si>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</si>
  <si>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</si>
  <si>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</si>
  <si>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</si>
  <si>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</si>
  <si>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</si>
  <si>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</si>
  <si>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</si>
  <si>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</si>
  <si>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</si>
  <si>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</si>
  <si>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</si>
  <si>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</si>
  <si>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</si>
  <si>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</si>
  <si>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</si>
  <si>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</si>
  <si>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</si>
  <si>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</si>
  <si>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</si>
  <si>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</si>
  <si>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</si>
  <si>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</si>
  <si>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</si>
  <si>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</si>
  <si>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</si>
  <si>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</si>
  <si>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</si>
  <si>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</si>
  <si>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</si>
  <si>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</si>
  <si>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</si>
  <si>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</si>
  <si>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</si>
  <si>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</si>
  <si>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</si>
  <si>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</si>
  <si>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</si>
  <si>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</si>
  <si>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</si>
  <si>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</si>
  <si>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</si>
  <si>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</si>
  <si>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</si>
  <si>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</si>
  <si>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</si>
  <si>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</si>
  <si>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</si>
  <si>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</si>
  <si>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</si>
  <si>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</si>
  <si>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</si>
  <si>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</si>
  <si>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</si>
  <si>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</si>
  <si>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</si>
  <si>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</si>
  <si>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</si>
  <si>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</si>
  <si>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</si>
  <si>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</si>
  <si>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</si>
  <si>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</si>
  <si>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</si>
  <si>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</si>
  <si>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</si>
  <si>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</si>
  <si>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</si>
  <si>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</si>
  <si>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</si>
  <si>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</si>
  <si>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</si>
  <si>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</si>
  <si>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</si>
  <si>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</si>
  <si>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</si>
  <si>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</si>
  <si>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</si>
  <si>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</si>
  <si>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</si>
  <si>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</si>
  <si>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</si>
  <si>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</si>
  <si>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</si>
  <si>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</si>
  <si>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</si>
  <si>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</si>
  <si>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</si>
  <si>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</si>
  <si>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</si>
  <si>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</si>
  <si>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</si>
  <si>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</si>
  <si>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</si>
  <si>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</si>
  <si>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</si>
  <si>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</si>
  <si>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</si>
  <si>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</si>
  <si>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</si>
  <si>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</si>
  <si>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</si>
  <si>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</si>
  <si>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</si>
  <si>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</si>
  <si>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</si>
  <si>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</si>
  <si>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</si>
  <si>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</si>
  <si>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</si>
  <si>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</si>
  <si>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</si>
  <si>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</si>
  <si>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</si>
  <si>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</si>
  <si>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</si>
  <si>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</si>
  <si>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</si>
  <si>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</si>
  <si>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</si>
  <si>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</si>
  <si>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</si>
  <si>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</si>
  <si>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</si>
  <si>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</si>
  <si>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</si>
  <si>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</si>
  <si>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</si>
  <si>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</si>
  <si>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</si>
  <si>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</si>
  <si>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</si>
  <si>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</si>
  <si>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</si>
  <si>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</si>
  <si>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</si>
  <si>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</si>
  <si>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</si>
  <si>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</si>
  <si>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</si>
  <si>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</si>
  <si>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</si>
  <si>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</si>
  <si>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</si>
  <si>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</si>
  <si>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</si>
  <si>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</si>
  <si>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</si>
  <si>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</si>
  <si>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</si>
  <si>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</si>
  <si>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</si>
  <si>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</si>
  <si>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</si>
  <si>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</si>
  <si>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</si>
  <si>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</si>
  <si>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</si>
  <si>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</si>
  <si>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</si>
  <si>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</si>
  <si>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</si>
  <si>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</si>
  <si>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</si>
  <si>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</si>
  <si>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</si>
  <si>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</si>
  <si>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</si>
  <si>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</si>
  <si>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</si>
  <si>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</si>
  <si>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</si>
  <si>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</si>
  <si>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</si>
  <si>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</si>
  <si>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</si>
  <si>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</si>
  <si>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</si>
  <si>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</si>
  <si>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</si>
  <si>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</si>
  <si>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</si>
  <si>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</si>
  <si>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</si>
  <si>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</si>
  <si>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</si>
  <si>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</si>
  <si>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</si>
  <si>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</si>
  <si>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</si>
  <si>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</si>
  <si>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</si>
  <si>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</si>
  <si>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</si>
  <si>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</si>
  <si>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</si>
  <si>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</si>
  <si>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</si>
  <si>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</si>
  <si>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</si>
  <si>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</si>
  <si>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</si>
  <si>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</si>
  <si>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</si>
  <si>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</si>
  <si>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</si>
  <si>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</si>
  <si>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</si>
  <si>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</si>
  <si>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</si>
  <si>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</si>
  <si>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</si>
  <si>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</si>
  <si>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</si>
  <si>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</si>
  <si>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</si>
  <si>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</si>
  <si>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</si>
  <si>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</si>
  <si>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</si>
  <si>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</si>
  <si>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</si>
  <si>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</si>
  <si>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</si>
  <si>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</si>
  <si>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</si>
  <si>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</si>
  <si>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</si>
  <si>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</si>
  <si>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</si>
  <si>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</si>
  <si>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</si>
  <si>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</si>
  <si>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</si>
  <si>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</si>
  <si>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</si>
  <si>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</si>
  <si>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</si>
  <si>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</si>
  <si>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</si>
  <si>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</si>
  <si>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</si>
  <si>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</si>
  <si>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</si>
  <si>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</si>
  <si>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</si>
  <si>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</si>
  <si>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</si>
  <si>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</si>
  <si>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</si>
  <si>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</si>
  <si>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</si>
  <si>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</si>
  <si>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</si>
  <si>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</si>
  <si>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</si>
  <si>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</si>
  <si>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</si>
  <si>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</si>
  <si>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</si>
  <si>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</si>
  <si>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</si>
  <si>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</si>
  <si>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</si>
  <si>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</si>
  <si>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</si>
  <si>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</si>
  <si>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</si>
  <si>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</si>
  <si>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</si>
  <si>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</si>
  <si>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</si>
  <si>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</si>
  <si>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</si>
  <si>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</si>
  <si>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</si>
  <si>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</si>
  <si>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</si>
  <si>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</si>
  <si>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</si>
  <si>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</si>
  <si>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</si>
  <si>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</si>
  <si>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</si>
  <si>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</si>
  <si>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</si>
  <si>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</si>
  <si>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</si>
  <si>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</si>
  <si>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</si>
  <si>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</si>
  <si>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</si>
  <si>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</si>
  <si>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</si>
  <si>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</si>
  <si>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</si>
  <si>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</si>
  <si>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</si>
  <si>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</si>
  <si>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</si>
  <si>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</si>
  <si>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</si>
  <si>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</si>
  <si>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</si>
  <si>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</si>
  <si>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</si>
  <si>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</si>
  <si>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</si>
  <si>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</si>
  <si>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</si>
  <si>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</si>
  <si>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</si>
  <si>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</si>
  <si>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</si>
  <si>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</si>
  <si>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</si>
  <si>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</si>
  <si>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</si>
  <si>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</si>
  <si>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</si>
  <si>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</si>
  <si>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</si>
  <si>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</si>
  <si>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</si>
  <si>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</si>
  <si>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</si>
  <si>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</si>
  <si>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</si>
  <si>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</si>
  <si>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</si>
  <si>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</si>
  <si>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</si>
  <si>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</si>
  <si>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</si>
  <si>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</si>
  <si>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</si>
  <si>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</si>
  <si>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</si>
  <si>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</si>
  <si>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</si>
  <si>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</si>
  <si>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</si>
  <si>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</si>
  <si>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</si>
  <si>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</si>
  <si>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</si>
  <si>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</si>
  <si>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</si>
  <si>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</si>
  <si>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</si>
  <si>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</si>
  <si>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</si>
  <si>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</si>
  <si>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</si>
  <si>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</si>
  <si>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</si>
  <si>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</si>
  <si>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</si>
  <si>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</si>
  <si>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</si>
  <si>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</si>
  <si>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</si>
  <si>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</si>
  <si>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</si>
  <si>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</si>
  <si>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</si>
  <si>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</si>
  <si>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</si>
  <si>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</si>
  <si>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</si>
  <si>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</si>
  <si>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</si>
  <si>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</si>
  <si>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</si>
  <si>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</si>
  <si>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</si>
  <si>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</si>
  <si>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</si>
  <si>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</si>
  <si>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</si>
  <si>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</si>
  <si>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</si>
  <si>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</si>
  <si>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</si>
  <si>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</si>
  <si>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</si>
  <si>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</si>
  <si>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</si>
  <si>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</si>
  <si>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</si>
  <si>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</si>
  <si>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</si>
  <si>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</si>
  <si>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</si>
  <si>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</si>
  <si>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</si>
  <si>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</si>
  <si>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</si>
  <si>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</si>
  <si>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</si>
  <si>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</si>
  <si>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</si>
  <si>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</si>
  <si>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</si>
  <si>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</si>
  <si>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</si>
  <si>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</si>
  <si>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</si>
  <si>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</si>
  <si>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</si>
  <si>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</si>
  <si>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</si>
  <si>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</si>
  <si>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</si>
  <si>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</si>
  <si>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</si>
  <si>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</si>
  <si>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</si>
  <si>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</si>
  <si>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</si>
  <si>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</si>
  <si>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</si>
  <si>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</si>
  <si>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</si>
  <si>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</si>
  <si>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</si>
  <si>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</si>
  <si>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</si>
  <si>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</si>
  <si>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</si>
  <si>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</si>
  <si>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</si>
  <si>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</si>
  <si>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</si>
  <si>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</si>
  <si>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</si>
  <si>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</si>
  <si>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</si>
  <si>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</si>
  <si>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</si>
  <si>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</si>
  <si>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</si>
  <si>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</si>
  <si>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</si>
  <si>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</si>
  <si>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</si>
  <si>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</si>
  <si>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</si>
  <si>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</si>
  <si>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</si>
  <si>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</si>
  <si>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</si>
  <si>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</si>
  <si>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</si>
  <si>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</si>
  <si>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</si>
  <si>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</si>
  <si>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</si>
  <si>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</si>
  <si>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</si>
  <si>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</si>
  <si>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</si>
  <si>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</si>
  <si>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</si>
  <si>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</si>
  <si>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</si>
  <si>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</si>
  <si>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</si>
  <si>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</si>
  <si>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</si>
  <si>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</si>
  <si>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</si>
  <si>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</si>
  <si>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</si>
  <si>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</si>
  <si>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</si>
  <si>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</si>
  <si>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</si>
  <si>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</si>
  <si>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</si>
  <si>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</si>
  <si>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</si>
  <si>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</si>
  <si>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</si>
  <si>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</si>
  <si>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</si>
  <si>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</si>
  <si>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</si>
  <si>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</si>
  <si>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</si>
  <si>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</si>
  <si>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</si>
  <si>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</si>
  <si>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</si>
  <si>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</si>
  <si>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</si>
  <si>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</si>
  <si>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</si>
  <si>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</si>
  <si>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</si>
  <si>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</si>
  <si>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</si>
  <si>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</si>
  <si>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</si>
  <si>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</si>
  <si>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</si>
  <si>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</si>
  <si>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</si>
  <si>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</si>
  <si>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</si>
  <si>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</si>
  <si>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</si>
  <si>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</si>
  <si>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</si>
  <si>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</si>
  <si>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</si>
  <si>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</si>
  <si>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</si>
  <si>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</si>
  <si>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</si>
  <si>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</si>
  <si>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</si>
  <si>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</si>
  <si>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</si>
  <si>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</si>
  <si>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</si>
  <si>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</si>
  <si>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</si>
  <si>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</si>
  <si>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</si>
  <si>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</si>
  <si>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</si>
  <si>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</si>
  <si>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</si>
  <si>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</si>
  <si>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</si>
  <si>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</si>
  <si>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</si>
  <si>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</si>
  <si>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</si>
  <si>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</si>
  <si>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</si>
  <si>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</si>
  <si>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</si>
  <si>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</si>
  <si>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</si>
  <si>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</si>
  <si>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</si>
  <si>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</si>
  <si>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</si>
  <si>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</si>
  <si>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</si>
  <si>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</si>
  <si>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</si>
  <si>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</si>
  <si>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</si>
  <si>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</si>
  <si>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</si>
  <si>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</si>
  <si>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</si>
  <si>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</si>
  <si>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</si>
  <si>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</si>
  <si>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</si>
  <si>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</si>
  <si>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</si>
  <si>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</si>
  <si>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</si>
  <si>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</si>
  <si>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</si>
  <si>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</si>
  <si>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</si>
  <si>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</si>
  <si>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</si>
  <si>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</si>
  <si>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</si>
  <si>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</si>
  <si>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</si>
  <si>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</si>
  <si>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</si>
  <si>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</si>
  <si>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</si>
  <si>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</si>
  <si>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</si>
  <si>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</si>
  <si>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</si>
  <si>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</si>
  <si>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</si>
  <si>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</si>
  <si>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</si>
  <si>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</si>
  <si>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</si>
  <si>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</si>
  <si>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</si>
  <si>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</si>
  <si>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</si>
  <si>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</si>
  <si>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</si>
  <si>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</si>
  <si>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</si>
  <si>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</si>
  <si>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</si>
  <si>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</si>
  <si>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</si>
  <si>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</si>
  <si>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</si>
  <si>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</si>
  <si>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</si>
  <si>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</si>
  <si>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</si>
  <si>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</si>
  <si>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</si>
  <si>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</si>
  <si>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</si>
  <si>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</si>
  <si>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</si>
  <si>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</si>
  <si>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</si>
  <si>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</si>
  <si>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</si>
  <si>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</si>
  <si>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</si>
  <si>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</si>
  <si>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</si>
  <si>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</si>
  <si>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</si>
  <si>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</si>
  <si>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</si>
  <si>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</si>
  <si>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</si>
  <si>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</si>
  <si>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</si>
  <si>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</si>
  <si>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</si>
  <si>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</si>
  <si>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</si>
  <si>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</si>
  <si>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</si>
  <si>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</si>
  <si>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</si>
  <si>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</si>
  <si>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</si>
  <si>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</si>
  <si>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</si>
  <si>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</si>
  <si>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</si>
  <si>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</si>
  <si>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</si>
  <si>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</si>
  <si>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</si>
  <si>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</si>
  <si>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</si>
  <si>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</si>
  <si>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</si>
  <si>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</si>
  <si>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</si>
  <si>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</si>
  <si>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</si>
  <si>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</si>
  <si>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</si>
  <si>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</si>
  <si>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</si>
  <si>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</si>
  <si>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</si>
  <si>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</si>
  <si>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</si>
  <si>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</si>
  <si>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</si>
  <si>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</si>
  <si>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</si>
  <si>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</si>
  <si>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</si>
  <si>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</si>
  <si>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</si>
  <si>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</si>
  <si>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</si>
  <si>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</si>
  <si>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</si>
  <si>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</si>
  <si>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</si>
  <si>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</si>
  <si>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</si>
  <si>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</si>
  <si>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</si>
  <si>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</si>
  <si>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</si>
  <si>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</si>
  <si>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</si>
  <si>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</si>
  <si>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</si>
  <si>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</si>
  <si>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</si>
  <si>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</si>
  <si>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</si>
  <si>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</si>
  <si>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</si>
  <si>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</si>
  <si>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</si>
  <si>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</si>
  <si>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</si>
  <si>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</si>
  <si>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</si>
  <si>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</si>
  <si>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</si>
  <si>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</si>
  <si>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</si>
  <si>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</si>
  <si>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</si>
  <si>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</si>
  <si>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</si>
  <si>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</si>
  <si>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</si>
  <si>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</si>
  <si>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</si>
  <si>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</si>
  <si>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</si>
  <si>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</si>
  <si>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</si>
  <si>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</si>
  <si>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</si>
  <si>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</si>
  <si>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</si>
  <si>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</si>
  <si>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</si>
  <si>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</si>
  <si>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</si>
  <si>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</si>
  <si>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</si>
  <si>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</si>
  <si>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</si>
  <si>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</si>
  <si>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</si>
  <si>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</si>
  <si>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</si>
  <si>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</si>
  <si>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</si>
  <si>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</si>
  <si>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</si>
  <si>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</si>
  <si>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</si>
  <si>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</si>
  <si>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</si>
  <si>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</si>
  <si>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</si>
  <si>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</si>
  <si>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</si>
  <si>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</si>
  <si>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</si>
  <si>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</si>
  <si>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</si>
  <si>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</si>
  <si>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</si>
  <si>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</si>
  <si>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</si>
  <si>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</si>
  <si>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</si>
  <si>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</si>
  <si>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</si>
  <si>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</si>
  <si>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</si>
  <si>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</si>
  <si>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</si>
  <si>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</si>
  <si>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</si>
  <si>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</si>
  <si>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</si>
  <si>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</si>
  <si>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</si>
  <si>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</si>
  <si>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</si>
  <si>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</si>
  <si>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</si>
  <si>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</si>
  <si>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</si>
  <si>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</si>
  <si>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</si>
  <si>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</si>
  <si>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</si>
  <si>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</si>
  <si>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</si>
  <si>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</si>
  <si>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</si>
  <si>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</si>
  <si>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</si>
  <si>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</si>
  <si>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</si>
  <si>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</si>
  <si>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</si>
  <si>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</si>
  <si>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</si>
  <si>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</si>
  <si>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</si>
  <si>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</si>
  <si>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</si>
  <si>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</si>
  <si>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</si>
  <si>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</si>
  <si>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</si>
  <si>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</si>
  <si>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</si>
  <si>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</si>
  <si>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</si>
  <si>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</si>
  <si>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</si>
  <si>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</si>
  <si>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</si>
  <si>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</si>
  <si>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</si>
  <si>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</si>
  <si>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</si>
  <si>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</si>
  <si>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</si>
  <si>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</si>
  <si>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</si>
  <si>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</si>
  <si>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</si>
  <si>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</si>
  <si>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</si>
  <si>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</si>
  <si>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</si>
  <si>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</si>
  <si>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</si>
  <si>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</si>
  <si>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</si>
  <si>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</si>
  <si>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</si>
  <si>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</si>
  <si>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</si>
  <si>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</si>
  <si>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</si>
  <si>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</si>
  <si>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</si>
  <si>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</si>
  <si>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</si>
  <si>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</si>
  <si>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</si>
  <si>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</si>
  <si>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</si>
  <si>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</si>
  <si>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</si>
  <si>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</si>
  <si>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</si>
  <si>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</si>
  <si>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</si>
  <si>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</si>
  <si>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</si>
  <si>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</si>
  <si>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</si>
  <si>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</si>
  <si>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</si>
  <si>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</si>
  <si>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</si>
  <si>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</si>
  <si>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</si>
  <si>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</si>
  <si>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</si>
  <si>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</si>
  <si>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</si>
  <si>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</si>
  <si>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</si>
  <si>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</si>
  <si>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</si>
  <si>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</si>
  <si>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</si>
  <si>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</si>
  <si>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</si>
  <si>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</si>
  <si>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</si>
  <si>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</si>
  <si>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</si>
  <si>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</si>
  <si>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</si>
  <si>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</si>
  <si>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</si>
  <si>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</si>
  <si>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</si>
  <si>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</si>
  <si>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</si>
  <si>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</si>
  <si>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</si>
  <si>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</si>
  <si>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</si>
  <si>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</si>
  <si>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</si>
  <si>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</si>
  <si>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</si>
  <si>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</si>
  <si>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</si>
  <si>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</si>
  <si>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</si>
  <si>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</si>
  <si>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</si>
  <si>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</si>
  <si>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</si>
  <si>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</si>
  <si>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</si>
  <si>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</si>
  <si>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</si>
  <si>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</si>
  <si>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</si>
  <si>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</si>
  <si>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</si>
  <si>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</si>
  <si>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</si>
  <si>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</si>
  <si>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</si>
  <si>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</si>
  <si>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</si>
  <si>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</si>
  <si>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</si>
  <si>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</si>
  <si>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</si>
  <si>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</si>
  <si>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</si>
  <si>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</si>
  <si>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</si>
  <si>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</si>
  <si>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</si>
  <si>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</si>
  <si>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</si>
  <si>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</si>
  <si>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</si>
  <si>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</si>
  <si>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</si>
  <si>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</si>
  <si>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</si>
  <si>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</si>
  <si>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</si>
  <si>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</si>
  <si>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</si>
  <si>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</si>
  <si>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</si>
  <si>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</si>
  <si>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</si>
  <si>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</si>
  <si>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</si>
  <si>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</si>
  <si>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</si>
  <si>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</si>
  <si>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</si>
  <si>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</si>
  <si>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</si>
  <si>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</si>
  <si>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</si>
  <si>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</si>
  <si>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</si>
  <si>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</si>
  <si>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</si>
  <si>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</si>
  <si>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</si>
  <si>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</si>
  <si>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</si>
  <si>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</si>
  <si>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</si>
  <si>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</si>
  <si>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</si>
  <si>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</si>
  <si>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</si>
  <si>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</si>
  <si>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</si>
  <si>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</si>
  <si>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</si>
  <si>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</si>
  <si>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</si>
  <si>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</si>
  <si>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</si>
  <si>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</si>
  <si>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</si>
  <si>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</si>
  <si>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</si>
  <si>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</si>
  <si>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</si>
  <si>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</si>
  <si>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</si>
  <si>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</si>
  <si>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</si>
  <si>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</si>
  <si>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</si>
  <si>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</si>
  <si>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</si>
  <si>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</si>
  <si>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</si>
  <si>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</si>
  <si>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</si>
  <si>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</si>
  <si>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</si>
  <si>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</si>
  <si>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</si>
  <si>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</si>
  <si>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</si>
  <si>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</si>
  <si>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</si>
  <si>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</si>
  <si>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</si>
  <si>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</si>
  <si>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</si>
  <si>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</si>
  <si>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</si>
  <si>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</si>
  <si>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</si>
  <si>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</si>
  <si>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</si>
  <si>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</si>
  <si>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</si>
  <si>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</si>
  <si>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</si>
  <si>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</si>
  <si>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</si>
  <si>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</si>
  <si>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</si>
  <si>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</si>
  <si>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</si>
  <si>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</si>
  <si>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</si>
  <si>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</si>
  <si>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</si>
  <si>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</si>
  <si>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</si>
  <si>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</si>
  <si>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</si>
  <si>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</si>
  <si>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</si>
  <si>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</si>
  <si>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</si>
  <si>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</si>
  <si>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</si>
  <si>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</si>
  <si>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</si>
  <si>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</si>
  <si>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</si>
  <si>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</si>
  <si>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</si>
  <si>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</si>
  <si>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</si>
  <si>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</si>
  <si>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</si>
  <si>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</si>
  <si>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</si>
  <si>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</si>
  <si>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</si>
  <si>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</si>
  <si>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</si>
  <si>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</si>
  <si>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</si>
  <si>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</si>
  <si>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</si>
  <si>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</si>
  <si>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</si>
  <si>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</si>
  <si>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</si>
  <si>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</si>
  <si>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</si>
  <si>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</si>
  <si>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</si>
  <si>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</si>
  <si>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</si>
  <si>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</si>
  <si>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</si>
  <si>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</si>
  <si>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</si>
  <si>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</si>
  <si>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</si>
  <si>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</si>
  <si>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</si>
  <si>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</si>
  <si>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</si>
  <si>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</si>
  <si>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</si>
  <si>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</si>
  <si>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</si>
  <si>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</si>
  <si>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</si>
  <si>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</si>
  <si>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</si>
  <si>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</si>
  <si>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</si>
  <si>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</si>
  <si>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</si>
  <si>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</si>
  <si>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</si>
  <si>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</si>
  <si>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</si>
  <si>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</si>
  <si>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</si>
  <si>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</si>
  <si>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</si>
  <si>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</si>
  <si>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</si>
  <si>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</si>
  <si>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</si>
  <si>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</si>
  <si>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</si>
  <si>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</si>
  <si>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</si>
  <si>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</si>
  <si>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</si>
  <si>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</si>
  <si>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</si>
  <si>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</si>
  <si>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</si>
  <si>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</si>
  <si>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</si>
  <si>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</si>
  <si>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</si>
  <si>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</si>
  <si>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</si>
  <si>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</si>
  <si>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</si>
  <si>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</si>
  <si>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</si>
  <si>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</si>
  <si>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</si>
  <si>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</si>
  <si>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</si>
  <si>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</si>
  <si>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</si>
  <si>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</si>
  <si>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</si>
  <si>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</si>
  <si>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</si>
  <si>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</si>
  <si>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</si>
  <si>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</si>
  <si>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</si>
  <si>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</si>
  <si>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</si>
  <si>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</si>
  <si>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</si>
  <si>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</si>
  <si>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</si>
  <si>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</si>
  <si>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</si>
  <si>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</si>
  <si>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</si>
  <si>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</si>
  <si>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</si>
  <si>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</si>
  <si>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</si>
  <si>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</si>
  <si>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</si>
  <si>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</si>
  <si>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</si>
  <si>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</si>
  <si>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</si>
  <si>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</si>
  <si>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</si>
  <si>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</si>
  <si>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</si>
  <si>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</si>
  <si>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</si>
  <si>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</si>
  <si>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</si>
  <si>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</si>
  <si>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</si>
  <si>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</si>
  <si>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</si>
  <si>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</si>
  <si>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</si>
  <si>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</si>
  <si>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</si>
  <si>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</si>
  <si>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</si>
  <si>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</si>
  <si>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</si>
  <si>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</si>
  <si>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</si>
  <si>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</si>
  <si>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</si>
  <si>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</si>
  <si>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</si>
  <si>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</si>
  <si>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</si>
  <si>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</si>
  <si>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</si>
  <si>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</si>
  <si>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</si>
  <si>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</si>
  <si>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</si>
  <si>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</si>
  <si>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</si>
  <si>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</si>
  <si>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</si>
  <si>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</si>
  <si>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</si>
  <si>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</si>
  <si>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</si>
  <si>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</si>
  <si>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</si>
  <si>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</si>
  <si>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</si>
  <si>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</si>
  <si>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</si>
  <si>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</si>
  <si>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</si>
  <si>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</si>
  <si>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</si>
  <si>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</si>
  <si>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</si>
  <si>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</si>
  <si>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</si>
  <si>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</si>
  <si>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</si>
  <si>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</si>
  <si>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</si>
  <si>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</si>
  <si>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</si>
  <si>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</si>
  <si>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</si>
  <si>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</si>
  <si>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</si>
  <si>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</si>
  <si>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</si>
  <si>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</si>
  <si>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</si>
  <si>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</si>
  <si>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</si>
  <si>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</si>
  <si>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</si>
  <si>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</si>
  <si>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</si>
  <si>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</si>
  <si>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</si>
  <si>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</si>
  <si>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</si>
  <si>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</si>
  <si>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</si>
  <si>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</si>
  <si>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</si>
  <si>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</si>
  <si>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</si>
  <si>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</si>
  <si>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</si>
  <si>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</si>
  <si>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</si>
  <si>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</si>
  <si>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</si>
  <si>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</si>
  <si>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</si>
  <si>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</si>
  <si>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</si>
  <si>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</si>
  <si>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</si>
  <si>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</si>
  <si>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</si>
  <si>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</si>
  <si>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</si>
  <si>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</si>
  <si>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</si>
  <si>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</si>
  <si>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</si>
  <si>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</si>
  <si>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</si>
  <si>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</si>
  <si>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</si>
  <si>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</si>
  <si>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</si>
  <si>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</si>
  <si>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</si>
  <si>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</si>
  <si>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</si>
  <si>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</si>
  <si>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</si>
  <si>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</si>
  <si>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</si>
  <si>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</si>
  <si>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</si>
  <si>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</si>
  <si>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</si>
  <si>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</si>
  <si>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</si>
  <si>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</si>
  <si>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</si>
  <si>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</si>
  <si>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</si>
  <si>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</si>
  <si>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</si>
  <si>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</si>
  <si>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</si>
  <si>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</si>
  <si>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</si>
  <si>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</si>
  <si>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</si>
  <si>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</si>
  <si>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</si>
  <si>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</si>
  <si>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</si>
  <si>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</si>
  <si>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</si>
  <si>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</si>
  <si>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</si>
  <si>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</si>
  <si>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</si>
  <si>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</si>
  <si>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</si>
  <si>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</si>
  <si>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</si>
  <si>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</si>
  <si>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</si>
  <si>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</si>
  <si>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</si>
  <si>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</si>
  <si>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</si>
  <si>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</si>
  <si>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</si>
  <si>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</si>
  <si>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</si>
  <si>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</si>
  <si>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</si>
  <si>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</si>
  <si>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</si>
  <si>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</si>
  <si>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</si>
  <si>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</si>
  <si>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</si>
  <si>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</si>
  <si>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</si>
  <si>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</si>
  <si>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</si>
  <si>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</si>
  <si>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</si>
  <si>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</si>
  <si>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</si>
  <si>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</si>
  <si>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</si>
  <si>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</si>
  <si>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</si>
  <si>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</si>
  <si>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</si>
  <si>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</si>
  <si>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</si>
  <si>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</si>
  <si>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</si>
  <si>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</si>
  <si>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</si>
  <si>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</si>
  <si>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</si>
  <si>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</si>
  <si>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</si>
  <si>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</si>
  <si>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</si>
  <si>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</si>
  <si>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</si>
  <si>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</si>
  <si>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</si>
  <si>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</si>
  <si>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</si>
  <si>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</si>
  <si>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</si>
  <si>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</si>
  <si>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</si>
  <si>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</si>
  <si>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</si>
  <si>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</si>
  <si>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</si>
  <si>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</si>
  <si>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</si>
  <si>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</si>
  <si>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</si>
  <si>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</si>
  <si>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</si>
  <si>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</si>
  <si>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</si>
  <si>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</si>
  <si>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</si>
  <si>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</si>
  <si>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</si>
  <si>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</si>
  <si>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</si>
  <si>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</si>
  <si>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</si>
  <si>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</si>
  <si>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</si>
  <si>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</si>
  <si>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</si>
  <si>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</si>
  <si>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</si>
  <si>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</si>
  <si>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</si>
  <si>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</si>
  <si>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</si>
  <si>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</si>
  <si>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</si>
  <si>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</si>
  <si>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</si>
  <si>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</si>
  <si>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</si>
  <si>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</si>
  <si>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</si>
  <si>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</si>
  <si>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</si>
  <si>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</si>
  <si>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</si>
  <si>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</si>
  <si>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</si>
  <si>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</si>
  <si>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</si>
  <si>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</si>
  <si>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</si>
  <si>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</si>
  <si>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</si>
  <si>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</si>
  <si>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</si>
  <si>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</si>
  <si>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</si>
  <si>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</si>
  <si>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</si>
  <si>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</si>
  <si>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</si>
  <si>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</si>
  <si>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</si>
  <si>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</si>
  <si>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</si>
  <si>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</si>
  <si>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</si>
  <si>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</si>
  <si>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</si>
  <si>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</si>
  <si>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</si>
  <si>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</si>
  <si>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</si>
  <si>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</si>
  <si>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</si>
  <si>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</si>
  <si>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</si>
  <si>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</si>
  <si>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</si>
  <si>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</si>
  <si>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</si>
  <si>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</si>
  <si>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</si>
  <si>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</si>
  <si>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</si>
  <si>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</si>
  <si>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</si>
  <si>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</si>
  <si>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</si>
  <si>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</si>
  <si>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</si>
  <si>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</si>
  <si>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</si>
  <si>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</si>
  <si>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</si>
  <si>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</si>
  <si>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</si>
  <si>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</si>
  <si>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</si>
  <si>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</si>
  <si>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</si>
  <si>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</si>
  <si>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</si>
  <si>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</si>
  <si>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</si>
  <si>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</si>
  <si>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</si>
  <si>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</si>
  <si>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</si>
  <si>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</si>
  <si>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</si>
  <si>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</si>
  <si>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</si>
  <si>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</si>
  <si>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</si>
  <si>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</si>
  <si>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</si>
  <si>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</si>
  <si>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</si>
  <si>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</si>
  <si>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</si>
  <si>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</si>
  <si>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</si>
  <si>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</si>
  <si>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</si>
  <si>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</si>
  <si>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</si>
  <si>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</si>
  <si>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</si>
  <si>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</si>
  <si>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</si>
  <si>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</si>
  <si>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</si>
  <si>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</si>
  <si>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</si>
  <si>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</si>
  <si>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</si>
  <si>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</si>
  <si>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</si>
  <si>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</si>
  <si>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</si>
  <si>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</si>
  <si>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</si>
  <si>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</si>
  <si>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</si>
  <si>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</si>
  <si>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</si>
  <si>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</si>
  <si>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</si>
  <si>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</si>
  <si>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</si>
  <si>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</si>
  <si>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</si>
  <si>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</si>
  <si>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</si>
  <si>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</si>
  <si>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</si>
  <si>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</si>
  <si>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</si>
  <si>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</si>
  <si>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</si>
  <si>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</si>
  <si>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</si>
  <si>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</si>
  <si>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</si>
  <si>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</si>
  <si>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</si>
  <si>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</si>
  <si>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</si>
  <si>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</si>
  <si>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</si>
  <si>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</si>
  <si>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</si>
  <si>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</si>
  <si>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</si>
  <si>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</si>
  <si>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</si>
  <si>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</si>
  <si>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</si>
  <si>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</si>
  <si>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</si>
  <si>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</si>
  <si>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</si>
  <si>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</si>
  <si>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</si>
  <si>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</si>
  <si>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</si>
  <si>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</si>
  <si>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</si>
  <si>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</si>
  <si>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</si>
  <si>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</si>
  <si>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</si>
  <si>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</si>
  <si>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</si>
  <si>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</si>
  <si>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</si>
  <si>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</si>
  <si>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</si>
  <si>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</si>
  <si>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</si>
  <si>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</si>
  <si>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</si>
  <si>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</si>
  <si>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</si>
  <si>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</si>
  <si>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</si>
  <si>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</si>
  <si>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</si>
  <si>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</si>
  <si>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</si>
  <si>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</si>
  <si>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</si>
  <si>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</si>
  <si>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</si>
  <si>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</si>
  <si>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</si>
  <si>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</si>
  <si>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</si>
  <si>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</si>
  <si>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</si>
  <si>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</si>
  <si>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</si>
  <si>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</si>
  <si>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</si>
  <si>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</si>
  <si>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</si>
  <si>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</si>
  <si>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</si>
  <si>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</si>
  <si>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</si>
  <si>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</si>
  <si>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</si>
  <si>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</si>
  <si>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</si>
  <si>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</si>
  <si>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</si>
  <si>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</si>
  <si>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</si>
  <si>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</si>
  <si>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</si>
  <si>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</si>
  <si>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</si>
  <si>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</si>
  <si>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</si>
  <si>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</si>
  <si>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</si>
  <si>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</si>
  <si>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</si>
  <si>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</si>
  <si>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</si>
  <si>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</si>
  <si>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</si>
  <si>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</si>
  <si>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</si>
  <si>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</si>
  <si>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</si>
  <si>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</si>
  <si>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</si>
  <si>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</si>
  <si>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</si>
  <si>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</si>
  <si>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</si>
  <si>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</si>
  <si>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</si>
  <si>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</si>
  <si>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</si>
  <si>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</si>
  <si>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</si>
  <si>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</si>
  <si>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</si>
  <si>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</si>
  <si>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</si>
  <si>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</si>
  <si>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</si>
  <si>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</si>
  <si>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</si>
  <si>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</si>
  <si>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</si>
  <si>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</si>
  <si>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</si>
  <si>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</si>
  <si>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</si>
  <si>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</si>
  <si>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</si>
  <si>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</si>
  <si>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</si>
  <si>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</si>
  <si>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</si>
  <si>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</si>
  <si>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</si>
  <si>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</si>
  <si>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</si>
  <si>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</si>
  <si>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</si>
  <si>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</si>
  <si>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</si>
  <si>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</si>
  <si>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</si>
  <si>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</si>
  <si>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</si>
  <si>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</si>
  <si>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</si>
  <si>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</si>
  <si>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</si>
  <si>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</si>
  <si>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</si>
  <si>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</si>
  <si>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</si>
  <si>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</si>
  <si>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</si>
  <si>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</si>
  <si>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</si>
  <si>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</si>
  <si>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</si>
  <si>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</si>
  <si>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</si>
  <si>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</si>
  <si>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</si>
  <si>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</si>
  <si>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</si>
  <si>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</si>
  <si>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</si>
  <si>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</si>
  <si>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</si>
  <si>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</si>
  <si>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</si>
  <si>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</si>
  <si>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</si>
  <si>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</si>
  <si>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</si>
  <si>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</si>
  <si>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</si>
  <si>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</si>
  <si>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</si>
  <si>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</si>
  <si>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</si>
  <si>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</si>
  <si>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</si>
  <si>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</si>
  <si>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</si>
  <si>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</si>
  <si>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</si>
  <si>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</si>
  <si>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</si>
  <si>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</si>
  <si>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</si>
  <si>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</si>
  <si>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</si>
  <si>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</si>
  <si>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</si>
  <si>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</si>
  <si>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</si>
  <si>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</si>
  <si>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</si>
  <si>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</si>
  <si>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</si>
  <si>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</si>
  <si>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</si>
  <si>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</si>
  <si>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</si>
  <si>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</si>
  <si>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</si>
  <si>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</si>
  <si>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</si>
  <si>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</si>
  <si>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</si>
  <si>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</si>
  <si>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</si>
  <si>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</si>
  <si>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</si>
  <si>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</si>
  <si>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</si>
  <si>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</si>
  <si>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</si>
  <si>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</si>
  <si>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</si>
  <si>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</si>
  <si>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</si>
  <si>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</si>
  <si>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</si>
  <si>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</si>
  <si>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</si>
  <si>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</si>
  <si>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</si>
  <si>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</si>
  <si>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</si>
  <si>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</si>
  <si>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</si>
  <si>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</si>
  <si>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</si>
  <si>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</si>
  <si>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</si>
  <si>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</si>
  <si>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</si>
  <si>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</si>
  <si>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</si>
  <si>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</si>
  <si>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</si>
  <si>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</si>
  <si>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</si>
  <si>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</si>
  <si>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</si>
  <si>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</si>
  <si>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</si>
  <si>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</si>
  <si>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</si>
  <si>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</si>
  <si>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</si>
  <si>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</si>
  <si>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</si>
  <si>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</si>
  <si>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</si>
  <si>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</si>
  <si>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</si>
  <si>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</si>
  <si>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</si>
  <si>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</si>
  <si>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</si>
  <si>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</si>
  <si>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</si>
  <si>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</si>
  <si>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</si>
  <si>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</si>
  <si>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</si>
  <si>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</si>
  <si>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</si>
  <si>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</si>
  <si>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</si>
  <si>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</si>
  <si>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</si>
  <si>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</si>
  <si>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</si>
  <si>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</si>
  <si>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</si>
  <si>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</si>
  <si>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</si>
  <si>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</si>
  <si>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</si>
  <si>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</si>
  <si>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</si>
  <si>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</si>
  <si>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</si>
  <si>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</si>
  <si>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</si>
  <si>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</si>
  <si>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</si>
  <si>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</si>
  <si>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</si>
  <si>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</si>
  <si>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</si>
  <si>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</si>
  <si>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</si>
  <si>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</si>
  <si>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</si>
  <si>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</si>
  <si>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</si>
  <si>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</si>
  <si>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</si>
  <si>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</si>
  <si>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</si>
  <si>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</si>
  <si>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</si>
  <si>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</si>
  <si>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</si>
  <si>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</si>
  <si>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</si>
  <si>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</si>
  <si>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</si>
  <si>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</si>
  <si>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</si>
  <si>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</si>
  <si>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</si>
  <si>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</si>
  <si>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</si>
  <si>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</si>
  <si>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</si>
  <si>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</si>
  <si>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</si>
  <si>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</si>
  <si>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</si>
  <si>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</si>
  <si>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</si>
  <si>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</si>
  <si>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</si>
  <si>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</si>
  <si>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</si>
  <si>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</si>
  <si>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</si>
  <si>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</si>
  <si>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</si>
  <si>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</si>
  <si>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</si>
  <si>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</si>
  <si>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</si>
  <si>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</si>
  <si>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</si>
  <si>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</si>
  <si>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</si>
  <si>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</si>
  <si>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</si>
  <si>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</si>
  <si>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</si>
  <si>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</si>
  <si>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</si>
  <si>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</si>
  <si>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</si>
  <si>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</si>
  <si>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</si>
  <si>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</si>
  <si>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</si>
  <si>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</si>
  <si>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</si>
  <si>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</si>
  <si>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</si>
  <si>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</si>
  <si>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</si>
  <si>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</si>
  <si>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</si>
  <si>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</si>
  <si>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</si>
  <si>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</si>
  <si>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</si>
  <si>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</si>
  <si>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</si>
  <si>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</si>
  <si>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</si>
  <si>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</si>
  <si>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</si>
  <si>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</si>
  <si>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</si>
  <si>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</si>
  <si>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</si>
  <si>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</si>
  <si>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</si>
  <si>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</si>
  <si>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</si>
  <si>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</si>
  <si>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</si>
  <si>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</si>
  <si>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</si>
  <si>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</si>
  <si>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</si>
  <si>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</si>
  <si>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</si>
  <si>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</si>
  <si>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</si>
  <si>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</si>
  <si>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</si>
  <si>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</si>
  <si>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</si>
  <si>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</si>
  <si>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</si>
  <si>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</si>
  <si>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</si>
  <si>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</si>
  <si>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</si>
  <si>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</si>
  <si>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</si>
  <si>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</si>
  <si>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</si>
  <si>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</si>
  <si>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</si>
  <si>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</si>
  <si>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</si>
  <si>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</si>
  <si>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</si>
  <si>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</si>
  <si>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</si>
  <si>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</si>
  <si>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</si>
  <si>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</si>
  <si>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</si>
  <si>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</si>
  <si>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</si>
  <si>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</si>
  <si>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</si>
  <si>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</si>
  <si>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</si>
  <si>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</si>
  <si>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</si>
  <si>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</si>
  <si>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</si>
  <si>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</si>
  <si>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</si>
  <si>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</si>
  <si>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</si>
  <si>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</si>
  <si>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</si>
  <si>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</si>
  <si>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</si>
  <si>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</si>
  <si>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</si>
  <si>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</si>
  <si>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</si>
  <si>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</si>
  <si>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</si>
  <si>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</si>
  <si>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</si>
  <si>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</si>
  <si>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</si>
  <si>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</si>
  <si>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</si>
  <si>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</si>
  <si>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</si>
  <si>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</si>
  <si>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</si>
  <si>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</si>
  <si>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</si>
  <si>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</si>
  <si>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</si>
  <si>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</si>
  <si>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</si>
  <si>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</si>
  <si>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</si>
  <si>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</si>
  <si>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</si>
  <si>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</si>
  <si>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</si>
  <si>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</si>
  <si>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</si>
  <si>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</si>
  <si>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</si>
  <si>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</si>
  <si>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</si>
  <si>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</si>
  <si>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</si>
  <si>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</si>
  <si>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</si>
  <si>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</si>
  <si>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</si>
  <si>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</si>
  <si>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</si>
  <si>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</si>
  <si>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</si>
  <si>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</si>
  <si>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</si>
  <si>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</si>
  <si>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</si>
  <si>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</si>
  <si>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</si>
  <si>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</si>
  <si>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</si>
  <si>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</si>
  <si>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</si>
  <si>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</si>
  <si>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</si>
  <si>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</si>
  <si>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</si>
  <si>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</si>
  <si>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</si>
  <si>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</si>
  <si>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</si>
  <si>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</si>
  <si>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</si>
  <si>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</si>
  <si>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</si>
  <si>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</si>
  <si>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</si>
  <si>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</si>
  <si>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</si>
  <si>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</si>
  <si>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</si>
  <si>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</si>
  <si>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</si>
  <si>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</si>
  <si>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</si>
  <si>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</si>
  <si>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</si>
  <si>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</si>
  <si>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</si>
  <si>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</si>
  <si>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</si>
  <si>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</si>
  <si>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</si>
  <si>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</si>
  <si>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</si>
  <si>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</si>
  <si>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</si>
  <si>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</si>
  <si>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</si>
  <si>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</si>
  <si>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</si>
  <si>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</si>
  <si>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</si>
  <si>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</si>
  <si>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</si>
  <si>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</si>
  <si>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</si>
  <si>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</si>
  <si>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</si>
  <si>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</si>
  <si>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</si>
  <si>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</si>
  <si>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</si>
  <si>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</si>
  <si>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</si>
  <si>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</si>
  <si>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</si>
  <si>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</si>
  <si>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</si>
  <si>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</si>
  <si>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</si>
  <si>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</si>
  <si>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</si>
  <si>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</si>
  <si>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</si>
  <si>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</si>
  <si>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</si>
  <si>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</si>
  <si>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</si>
  <si>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</si>
  <si>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</si>
  <si>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</si>
  <si>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</si>
  <si>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</si>
  <si>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</si>
  <si>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</si>
  <si>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</si>
  <si>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</si>
  <si>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</si>
  <si>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</si>
  <si>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</si>
  <si>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</si>
  <si>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</si>
  <si>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</si>
  <si>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</si>
  <si>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</si>
  <si>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</si>
  <si>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</si>
  <si>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</si>
  <si>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</si>
  <si>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</si>
  <si>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</si>
  <si>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</si>
  <si>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</si>
  <si>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</si>
  <si>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</si>
  <si>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</si>
  <si>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</si>
  <si>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</si>
  <si>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</si>
  <si>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</si>
  <si>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</si>
  <si>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</si>
  <si>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</si>
  <si>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</si>
  <si>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</si>
  <si>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</si>
  <si>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</si>
  <si>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</si>
  <si>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</si>
  <si>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</si>
  <si>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</si>
  <si>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</si>
  <si>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</si>
  <si>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</si>
  <si>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</si>
  <si>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</si>
  <si>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</si>
  <si>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</si>
  <si>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</si>
  <si>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</si>
  <si>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</si>
  <si>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</si>
  <si>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</si>
  <si>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</si>
  <si>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</si>
  <si>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</si>
  <si>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</si>
  <si>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</si>
  <si>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</si>
  <si>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</si>
  <si>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</si>
  <si>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</si>
  <si>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</si>
  <si>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</si>
  <si>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</si>
  <si>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</si>
  <si>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</si>
  <si>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</si>
  <si>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</si>
  <si>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</si>
  <si>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</si>
  <si>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</si>
  <si>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</si>
  <si>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</si>
  <si>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</si>
  <si>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</si>
  <si>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</si>
  <si>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</si>
  <si>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</si>
  <si>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</si>
  <si>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</si>
  <si>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</si>
  <si>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</si>
  <si>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</si>
  <si>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</si>
  <si>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</si>
  <si>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</si>
  <si>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</si>
  <si>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</si>
  <si>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</si>
  <si>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</si>
  <si>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</si>
  <si>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</si>
  <si>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</si>
  <si>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</si>
  <si>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</si>
  <si>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</si>
  <si>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</si>
  <si>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</si>
  <si>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</si>
  <si>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</si>
  <si>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</si>
  <si>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</si>
  <si>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</si>
  <si>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</si>
  <si>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</si>
  <si>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</si>
  <si>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</si>
  <si>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</si>
  <si>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</si>
  <si>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</si>
  <si>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</si>
  <si>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</si>
  <si>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</si>
  <si>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</si>
  <si>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</si>
  <si>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</si>
  <si>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</si>
  <si>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</si>
  <si>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</si>
  <si>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</si>
  <si>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</si>
  <si>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</si>
  <si>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</si>
  <si>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</si>
  <si>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</si>
  <si>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</si>
  <si>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</si>
  <si>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</si>
  <si>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</si>
  <si>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</si>
  <si>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</si>
  <si>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</si>
  <si>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</si>
  <si>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</si>
  <si>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</si>
  <si>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</si>
  <si>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</si>
  <si>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</si>
  <si>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</si>
  <si>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</si>
  <si>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</si>
  <si>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</si>
  <si>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</si>
  <si>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</si>
  <si>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</si>
  <si>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</si>
  <si>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</si>
  <si>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</si>
  <si>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</si>
  <si>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</si>
  <si>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</si>
  <si>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</si>
  <si>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</si>
  <si>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</si>
  <si>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</si>
  <si>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</si>
  <si>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</si>
  <si>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</si>
  <si>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</si>
  <si>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</si>
  <si>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</si>
  <si>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</si>
  <si>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</si>
  <si>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</si>
  <si>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</si>
  <si>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</si>
  <si>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</si>
  <si>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</si>
  <si>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</si>
  <si>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</si>
  <si>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</si>
  <si>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</si>
  <si>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</si>
  <si>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</si>
  <si>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</si>
  <si>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</si>
  <si>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</si>
  <si>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</si>
  <si>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</si>
  <si>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</si>
  <si>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</si>
  <si>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</si>
  <si>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</si>
  <si>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</si>
  <si>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</si>
  <si>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</si>
  <si>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</si>
  <si>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</si>
  <si>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</si>
  <si>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</si>
  <si>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</si>
  <si>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</si>
  <si>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</si>
  <si>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</si>
  <si>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</si>
  <si>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</si>
  <si>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</si>
  <si>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</si>
  <si>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</si>
  <si>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</si>
  <si>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</si>
  <si>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</si>
  <si>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</si>
  <si>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</si>
  <si>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</si>
  <si>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</si>
  <si>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</si>
  <si>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</si>
  <si>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</si>
  <si>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</si>
  <si>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</si>
  <si>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</si>
  <si>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</si>
  <si>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</si>
  <si>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</si>
  <si>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</si>
  <si>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</si>
  <si>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</si>
  <si>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</si>
  <si>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</si>
  <si>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</si>
  <si>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</si>
  <si>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</si>
  <si>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</si>
  <si>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</si>
  <si>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</si>
  <si>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</si>
  <si>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</si>
  <si>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</si>
  <si>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</si>
  <si>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</si>
  <si>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</si>
  <si>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</si>
  <si>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</si>
  <si>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</si>
  <si>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</si>
  <si>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</si>
  <si>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</si>
  <si>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</si>
  <si>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</si>
  <si>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</si>
  <si>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</si>
  <si>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</si>
  <si>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</si>
  <si>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</si>
  <si>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</si>
  <si>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</si>
  <si>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</si>
  <si>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</si>
  <si>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</si>
  <si>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</si>
  <si>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</si>
  <si>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</si>
  <si>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</si>
  <si>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</si>
  <si>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</si>
  <si>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</si>
  <si>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</si>
  <si>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</si>
  <si>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</si>
  <si>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</si>
  <si>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</si>
  <si>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</si>
  <si>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</si>
  <si>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</si>
  <si>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</si>
  <si>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</si>
  <si>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</si>
  <si>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</si>
  <si>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</si>
  <si>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</si>
  <si>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</si>
  <si>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</si>
  <si>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</si>
  <si>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</si>
  <si>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</si>
  <si>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</si>
  <si>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</si>
  <si>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</si>
  <si>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</si>
  <si>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</si>
  <si>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</si>
  <si>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</si>
  <si>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</si>
  <si>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</si>
  <si>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</si>
  <si>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</si>
  <si>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</si>
  <si>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</si>
  <si>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</si>
  <si>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</si>
  <si>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</si>
  <si>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</si>
  <si>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</si>
  <si>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</si>
  <si>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</si>
  <si>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</si>
  <si>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</si>
  <si>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</si>
  <si>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</si>
  <si>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</si>
  <si>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</si>
  <si>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</si>
  <si>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</si>
  <si>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</si>
  <si>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</si>
  <si>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</si>
  <si>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</si>
  <si>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</si>
  <si>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</si>
  <si>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</si>
  <si>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</si>
  <si>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</si>
  <si>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</si>
  <si>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</si>
  <si>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</si>
  <si>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</si>
  <si>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</si>
  <si>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</si>
  <si>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</si>
  <si>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</si>
  <si>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</si>
  <si>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</si>
  <si>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</si>
  <si>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</si>
  <si>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</si>
  <si>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</si>
  <si>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</si>
  <si>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</si>
  <si>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</si>
  <si>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</si>
  <si>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</si>
  <si>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</si>
  <si>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</si>
  <si>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</si>
  <si>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</si>
  <si>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</si>
  <si>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</si>
  <si>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</si>
  <si>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</si>
  <si>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</si>
  <si>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</si>
  <si>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</si>
  <si>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</si>
  <si>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</si>
  <si>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</si>
  <si>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</si>
  <si>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</si>
  <si>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</si>
  <si>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</si>
  <si>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</si>
  <si>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</si>
  <si>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</si>
  <si>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</si>
  <si>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</si>
  <si>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</si>
  <si>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</si>
  <si>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</si>
  <si>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</si>
  <si>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</si>
  <si>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</si>
  <si>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</si>
  <si>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</si>
  <si>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</si>
  <si>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</si>
  <si>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</si>
  <si>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</si>
  <si>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</si>
  <si>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</si>
  <si>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</si>
  <si>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</si>
  <si>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</si>
  <si>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</si>
  <si>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</si>
  <si>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</si>
  <si>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</si>
  <si>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</si>
  <si>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</si>
  <si>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</si>
  <si>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</si>
  <si>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</si>
  <si>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</si>
  <si>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</si>
  <si>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</si>
  <si>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</si>
  <si>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</si>
  <si>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</si>
  <si>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</si>
  <si>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</si>
  <si>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</si>
  <si>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</si>
  <si>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</si>
  <si>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</si>
  <si>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</si>
  <si>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</si>
  <si>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</si>
  <si>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</si>
  <si>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</si>
  <si>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</si>
  <si>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</si>
  <si>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</si>
  <si>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</si>
  <si>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</si>
  <si>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</si>
  <si>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</si>
  <si>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</si>
  <si>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</si>
  <si>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</si>
  <si>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</si>
  <si>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</si>
  <si>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</si>
  <si>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</si>
  <si>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</si>
  <si>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</si>
  <si>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</si>
  <si>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</si>
  <si>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</si>
  <si>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</si>
  <si>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</si>
  <si>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</si>
  <si>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</si>
  <si>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</si>
  <si>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</si>
  <si>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</si>
  <si>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</si>
  <si>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</si>
  <si>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</si>
  <si>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</si>
  <si>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</si>
  <si>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</si>
  <si>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</si>
  <si>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</si>
  <si>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</si>
  <si>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</si>
  <si>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</si>
  <si>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</si>
  <si>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</si>
  <si>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</si>
  <si>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</si>
  <si>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</si>
  <si>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</si>
  <si>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</si>
  <si>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</si>
  <si>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</si>
  <si>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</si>
  <si>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</si>
  <si>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</si>
  <si>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</si>
  <si>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</si>
  <si>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</si>
  <si>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</si>
  <si>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</si>
  <si>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</si>
  <si>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</si>
  <si>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</si>
  <si>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</si>
  <si>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</si>
  <si>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</si>
  <si>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</si>
  <si>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</si>
  <si>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</si>
  <si>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</si>
  <si>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</si>
  <si>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</si>
  <si>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</si>
  <si>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</si>
  <si>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</si>
  <si>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</si>
  <si>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</si>
  <si>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</si>
  <si>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</si>
  <si>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</si>
  <si>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</si>
  <si>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</si>
  <si>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</si>
  <si>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</si>
  <si>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</si>
  <si>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</si>
  <si>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</si>
  <si>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</si>
  <si>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</si>
  <si>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</si>
  <si>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</si>
  <si>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</si>
  <si>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</si>
  <si>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</si>
  <si>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</si>
  <si>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</si>
  <si>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</si>
  <si>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</si>
  <si>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</si>
  <si>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</si>
  <si>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</si>
  <si>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</si>
  <si>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</si>
  <si>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</si>
  <si>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</si>
  <si>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</si>
  <si>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</si>
  <si>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</si>
  <si>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</si>
  <si>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</si>
  <si>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</si>
  <si>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</si>
  <si>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</si>
  <si>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</si>
  <si>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</si>
  <si>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</si>
  <si>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</si>
  <si>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</si>
  <si>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</si>
  <si>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</si>
  <si>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</si>
  <si>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</si>
  <si>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</si>
  <si>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</si>
  <si>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</si>
  <si>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</si>
  <si>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</si>
  <si>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</si>
  <si>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</si>
  <si>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</si>
  <si>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</si>
  <si>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</si>
  <si>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</si>
  <si>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</si>
  <si>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</si>
  <si>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</si>
  <si>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</si>
  <si>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</si>
  <si>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</si>
  <si>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</si>
  <si>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</si>
  <si>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</si>
  <si>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</si>
  <si>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</si>
  <si>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</si>
  <si>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</si>
  <si>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</si>
  <si>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</si>
  <si>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</si>
  <si>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</si>
  <si>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</si>
  <si>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</si>
  <si>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</si>
  <si>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</si>
  <si>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</si>
  <si>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</si>
  <si>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</si>
  <si>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</si>
  <si>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</si>
  <si>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</si>
  <si>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</si>
  <si>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</si>
  <si>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</si>
  <si>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</si>
  <si>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</si>
  <si>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</si>
  <si>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</si>
  <si>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</si>
  <si>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</si>
  <si>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</si>
  <si>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</si>
  <si>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</si>
  <si>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</si>
  <si>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</si>
  <si>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</si>
  <si>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</si>
  <si>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</si>
  <si>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</si>
  <si>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</si>
  <si>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</si>
  <si>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</si>
  <si>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</si>
  <si>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</si>
  <si>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</si>
  <si>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</si>
  <si>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</si>
  <si>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</si>
  <si>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</si>
  <si>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</si>
  <si>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</si>
  <si>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</si>
  <si>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</si>
  <si>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</si>
  <si>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</si>
  <si>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</si>
  <si>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</si>
  <si>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</si>
  <si>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</si>
  <si>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</si>
  <si>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</si>
  <si>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</si>
  <si>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</si>
  <si>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</si>
  <si>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</si>
  <si>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</si>
  <si>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</si>
  <si>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</si>
  <si>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</si>
  <si>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</si>
  <si>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</si>
  <si>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</si>
  <si>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</si>
  <si>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</si>
  <si>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</si>
  <si>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</si>
  <si>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</si>
  <si>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</si>
  <si>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</si>
  <si>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</si>
  <si>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</si>
  <si>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</si>
  <si>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</si>
  <si>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</si>
  <si>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</si>
  <si>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</si>
  <si>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</si>
  <si>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</si>
  <si>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</si>
  <si>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</si>
  <si>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</si>
  <si>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</si>
  <si>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</si>
  <si>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</si>
  <si>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</si>
  <si>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</si>
  <si>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</si>
  <si>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</si>
  <si>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</si>
  <si>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</si>
  <si>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</si>
  <si>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</si>
  <si>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</si>
  <si>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</si>
  <si>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</si>
  <si>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</si>
  <si>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</si>
  <si>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</si>
  <si>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</si>
  <si>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</si>
  <si>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</si>
  <si>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</si>
  <si>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</si>
  <si>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</si>
  <si>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</si>
  <si>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</si>
  <si>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</si>
  <si>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</si>
  <si>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</si>
  <si>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</si>
  <si>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</si>
  <si>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</si>
  <si>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</si>
  <si>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</si>
  <si>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</si>
  <si>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</si>
  <si>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</si>
  <si>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</si>
  <si>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</si>
  <si>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</si>
  <si>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</si>
  <si>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</si>
  <si>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</si>
  <si>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</si>
  <si>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</si>
  <si>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</si>
  <si>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</si>
  <si>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</si>
  <si>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</si>
  <si>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</si>
  <si>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</si>
  <si>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</si>
  <si>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</si>
  <si>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</si>
  <si>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</si>
  <si>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</si>
  <si>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</si>
  <si>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</si>
  <si>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</si>
  <si>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</si>
  <si>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</si>
  <si>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</si>
  <si>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</si>
  <si>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</si>
  <si>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</si>
  <si>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</si>
  <si>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</si>
  <si>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</si>
  <si>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</si>
  <si>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</si>
  <si>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</si>
  <si>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</si>
  <si>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</si>
  <si>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</si>
  <si>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</si>
  <si>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</si>
  <si>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</si>
  <si>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</si>
  <si>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</si>
  <si>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</si>
  <si>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</si>
  <si>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</si>
  <si>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</si>
  <si>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</si>
  <si>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</si>
  <si>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</si>
  <si>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</si>
  <si>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</si>
  <si>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</si>
  <si>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</si>
  <si>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</si>
  <si>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</si>
  <si>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</si>
  <si>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</si>
  <si>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</si>
  <si>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</si>
  <si>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</si>
  <si>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</si>
  <si>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</si>
  <si>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</si>
  <si>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</si>
  <si>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</si>
  <si>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</si>
  <si>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</si>
  <si>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</si>
  <si>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</si>
  <si>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</si>
  <si>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</si>
  <si>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</si>
  <si>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</si>
  <si>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</si>
  <si>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</si>
  <si>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</si>
  <si>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</si>
  <si>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</si>
  <si>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</si>
  <si>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</si>
  <si>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</si>
  <si>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</si>
  <si>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</si>
  <si>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</si>
  <si>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</si>
  <si>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</si>
  <si>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</si>
  <si>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</si>
  <si>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</si>
  <si>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</si>
  <si>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</si>
  <si>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</si>
  <si>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</si>
  <si>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</si>
  <si>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</si>
  <si>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</si>
  <si>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</si>
  <si>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</si>
  <si>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</si>
  <si>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</si>
  <si>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</si>
  <si>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</si>
  <si>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</si>
  <si>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</si>
  <si>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</si>
  <si>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</si>
  <si>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</si>
  <si>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</si>
  <si>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</si>
  <si>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</si>
  <si>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</si>
  <si>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</si>
  <si>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</si>
  <si>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</si>
  <si>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</si>
  <si>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</si>
  <si>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</si>
  <si>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</si>
  <si>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</si>
  <si>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</si>
  <si>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</si>
  <si>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</si>
  <si>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</si>
  <si>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</si>
  <si>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</si>
  <si>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</si>
  <si>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</si>
  <si>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</si>
  <si>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</si>
  <si>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</si>
  <si>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</si>
  <si>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</si>
  <si>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</si>
  <si>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</si>
  <si>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</si>
  <si>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</si>
  <si>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</si>
  <si>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</si>
  <si>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</si>
  <si>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</si>
  <si>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</si>
  <si>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</si>
  <si>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</si>
  <si>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</si>
  <si>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</si>
  <si>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</si>
  <si>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</si>
  <si>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</si>
  <si>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</si>
  <si>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</si>
  <si>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</si>
  <si>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</si>
  <si>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</si>
  <si>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</si>
  <si>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</si>
  <si>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</si>
  <si>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</si>
  <si>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</si>
  <si>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</si>
  <si>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</si>
  <si>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</si>
  <si>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</si>
  <si>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</si>
  <si>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</si>
  <si>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</si>
  <si>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</si>
  <si>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</si>
  <si>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</si>
  <si>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</si>
  <si>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</si>
  <si>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</si>
  <si>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</si>
  <si>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</si>
  <si>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</si>
  <si>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</si>
  <si>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</si>
  <si>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</si>
  <si>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</si>
  <si>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</si>
  <si>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</si>
  <si>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</si>
  <si>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</si>
  <si>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</si>
  <si>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</si>
  <si>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</si>
  <si>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</si>
  <si>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</si>
  <si>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</si>
  <si>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</si>
  <si>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</si>
  <si>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</si>
  <si>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</si>
  <si>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</si>
  <si>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</si>
  <si>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</si>
  <si>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</si>
  <si>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</si>
  <si>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</si>
  <si>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</si>
  <si>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</si>
  <si>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</si>
  <si>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</si>
  <si>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</si>
  <si>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</si>
  <si>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</si>
  <si>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</si>
  <si>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</si>
  <si>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</si>
  <si>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</si>
  <si>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</si>
  <si>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</si>
  <si>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</si>
  <si>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</si>
  <si>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</si>
  <si>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</si>
  <si>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</si>
  <si>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</si>
  <si>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</si>
  <si>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</si>
  <si>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</si>
  <si>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</si>
  <si>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</si>
  <si>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</si>
  <si>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</si>
  <si>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</si>
  <si>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</si>
  <si>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</si>
  <si>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</si>
  <si>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</si>
  <si>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</si>
  <si>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</si>
  <si>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</si>
  <si>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</si>
  <si>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</si>
  <si>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</si>
  <si>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</si>
  <si>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</si>
  <si>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</si>
  <si>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</si>
  <si>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</si>
  <si>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</si>
  <si>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</si>
  <si>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</si>
  <si>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</si>
  <si>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</si>
  <si>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</si>
  <si>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</si>
  <si>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</si>
  <si>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</si>
  <si>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</si>
  <si>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</si>
  <si>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</si>
  <si>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</si>
  <si>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</si>
  <si>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</si>
  <si>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</si>
  <si>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</si>
  <si>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</si>
  <si>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</si>
  <si>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</si>
  <si>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</si>
  <si>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</si>
  <si>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</si>
  <si>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</si>
  <si>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</si>
  <si>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</si>
  <si>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</si>
  <si>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</si>
  <si>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</si>
  <si>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</si>
  <si>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</si>
  <si>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</si>
  <si>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</si>
  <si>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</si>
  <si>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</si>
  <si>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</si>
  <si>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</si>
  <si>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</si>
  <si>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</si>
  <si>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</si>
  <si>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</si>
  <si>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</si>
  <si>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</si>
  <si>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</si>
  <si>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</si>
  <si>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</si>
  <si>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</si>
  <si>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</si>
  <si>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</si>
  <si>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</si>
  <si>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</si>
  <si>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</si>
  <si>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</si>
  <si>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</si>
  <si>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</si>
  <si>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</si>
  <si>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</si>
  <si>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</si>
  <si>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</si>
  <si>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</si>
  <si>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</si>
  <si>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</si>
  <si>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</si>
  <si>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</si>
  <si>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</si>
  <si>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</si>
  <si>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</si>
  <si>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</si>
  <si>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</si>
  <si>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</si>
  <si>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</si>
  <si>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</si>
  <si>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</si>
  <si>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</si>
  <si>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</si>
  <si>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</si>
  <si>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</si>
  <si>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</si>
  <si>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</si>
  <si>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</si>
  <si>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</si>
  <si>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</si>
  <si>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</si>
  <si>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</si>
  <si>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</si>
  <si>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</si>
  <si>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</si>
  <si>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</si>
  <si>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</si>
  <si>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</si>
  <si>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</si>
  <si>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</si>
  <si>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</si>
  <si>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</si>
  <si>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</si>
  <si>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</si>
  <si>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</si>
  <si>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</si>
  <si>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</si>
  <si>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</si>
  <si>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</si>
  <si>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</si>
  <si>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</si>
  <si>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</si>
  <si>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</si>
  <si>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</si>
  <si>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</si>
  <si>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</si>
  <si>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</si>
  <si>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</si>
  <si>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</si>
  <si>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</si>
  <si>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</si>
  <si>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</si>
  <si>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</si>
  <si>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</si>
  <si>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</si>
  <si>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</si>
  <si>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</si>
  <si>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</si>
  <si>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</si>
  <si>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</si>
  <si>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</si>
  <si>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</si>
  <si>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</si>
  <si>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</si>
  <si>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</si>
  <si>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</si>
  <si>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</si>
  <si>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</si>
  <si>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</si>
  <si>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</si>
  <si>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</si>
  <si>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</si>
  <si>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</si>
  <si>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</si>
  <si>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</si>
  <si>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</si>
  <si>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</si>
  <si>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</si>
  <si>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</si>
  <si>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</si>
  <si>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</si>
  <si>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</si>
  <si>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</si>
  <si>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</si>
  <si>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</si>
  <si>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</si>
  <si>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</si>
  <si>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</si>
  <si>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</si>
  <si>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</si>
  <si>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</si>
  <si>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</si>
  <si>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</si>
  <si>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</si>
  <si>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</si>
  <si>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</si>
  <si>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</si>
  <si>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</si>
  <si>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</si>
  <si>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</si>
  <si>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</si>
  <si>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</si>
  <si>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</si>
  <si>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</si>
  <si>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</si>
  <si>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</si>
  <si>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</si>
  <si>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</si>
  <si>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</si>
  <si>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</si>
  <si>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</si>
  <si>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</si>
  <si>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</si>
  <si>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</si>
  <si>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</si>
  <si>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</si>
  <si>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</si>
  <si>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</si>
  <si>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</si>
  <si>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</si>
  <si>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</si>
  <si>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</si>
  <si>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</si>
  <si>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</si>
  <si>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</si>
  <si>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</si>
  <si>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</si>
  <si>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</si>
  <si>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</si>
  <si>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</si>
  <si>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</si>
  <si>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</si>
  <si>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</si>
  <si>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</si>
  <si>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</si>
  <si>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</si>
  <si>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</si>
  <si>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</si>
  <si>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</si>
  <si>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</si>
  <si>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</si>
  <si>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</si>
  <si>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</si>
  <si>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</si>
  <si>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</si>
  <si>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</si>
  <si>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</si>
  <si>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</si>
  <si>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</si>
  <si>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</si>
  <si>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</si>
  <si>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</si>
  <si>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</si>
  <si>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</si>
  <si>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</si>
  <si>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</si>
  <si>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</si>
  <si>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</si>
  <si>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</si>
  <si>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</si>
  <si>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</si>
  <si>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</si>
  <si>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</si>
  <si>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</si>
  <si>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</si>
  <si>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</si>
  <si>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</si>
  <si>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</si>
  <si>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</si>
  <si>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</si>
  <si>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</si>
  <si>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</si>
  <si>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</si>
  <si>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</si>
  <si>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</si>
  <si>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</si>
  <si>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</si>
  <si>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</si>
  <si>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</si>
  <si>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</si>
  <si>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</si>
  <si>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</si>
  <si>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</si>
  <si>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</si>
  <si>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</si>
  <si>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</si>
  <si>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</si>
  <si>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</si>
  <si>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</si>
  <si>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</si>
  <si>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</si>
  <si>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</si>
  <si>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</si>
  <si>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</si>
  <si>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</si>
  <si>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</si>
  <si>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</si>
  <si>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</si>
  <si>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</si>
  <si>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</si>
  <si>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</si>
  <si>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</si>
  <si>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</si>
  <si>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</si>
  <si>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</si>
  <si>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</si>
  <si>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</si>
  <si>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</si>
  <si>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</si>
  <si>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</si>
  <si>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</si>
  <si>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</si>
  <si>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</si>
  <si>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</si>
  <si>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</si>
  <si>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</si>
  <si>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</si>
  <si>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</si>
  <si>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</si>
  <si>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</si>
  <si>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</si>
  <si>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</si>
  <si>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</si>
  <si>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</si>
  <si>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</si>
  <si>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</si>
  <si>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</si>
  <si>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</si>
  <si>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</si>
  <si>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</si>
  <si>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</si>
  <si>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</si>
  <si>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</si>
  <si>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</si>
  <si>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</si>
  <si>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</si>
  <si>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</si>
  <si>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</si>
  <si>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</si>
  <si>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</si>
  <si>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</si>
  <si>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</si>
  <si>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</si>
  <si>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</si>
  <si>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</si>
  <si>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</si>
  <si>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</si>
  <si>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</si>
  <si>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</si>
  <si>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</si>
  <si>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</si>
  <si>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</si>
  <si>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</si>
  <si>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</si>
  <si>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</si>
  <si>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</si>
  <si>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</si>
  <si>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</si>
  <si>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</si>
  <si>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</si>
  <si>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</si>
  <si>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</si>
  <si>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</si>
  <si>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</si>
  <si>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</si>
  <si>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</si>
  <si>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</si>
  <si>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</si>
  <si>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</si>
  <si>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</si>
  <si>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</si>
  <si>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</si>
  <si>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</si>
  <si>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</si>
  <si>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</si>
  <si>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</si>
  <si>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</si>
  <si>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</si>
  <si>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</si>
  <si>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</si>
  <si>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</si>
  <si>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</si>
  <si>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</si>
  <si>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</si>
  <si>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</si>
  <si>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</si>
  <si>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</si>
  <si>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</si>
  <si>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</si>
  <si>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</si>
  <si>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</si>
  <si>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</si>
  <si>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</si>
  <si>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</si>
  <si>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</si>
  <si>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</si>
  <si>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</si>
  <si>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</si>
  <si>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</si>
  <si>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</si>
  <si>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</si>
  <si>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</si>
  <si>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</si>
  <si>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</si>
  <si>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</si>
  <si>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</si>
  <si>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</si>
  <si>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</si>
  <si>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</si>
  <si>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</si>
  <si>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</si>
  <si>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</si>
  <si>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</si>
  <si>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</si>
  <si>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</si>
  <si>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</si>
  <si>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</si>
  <si>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</si>
  <si>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</si>
  <si>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</si>
  <si>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</si>
  <si>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</si>
  <si>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</si>
  <si>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</si>
  <si>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</si>
  <si>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</si>
  <si>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</si>
  <si>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</si>
  <si>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</si>
  <si>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</si>
  <si>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</si>
  <si>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</si>
  <si>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</si>
  <si>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</si>
  <si>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</si>
  <si>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</si>
  <si>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</si>
  <si>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</si>
  <si>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</si>
  <si>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</si>
  <si>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</si>
  <si>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</si>
  <si>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</si>
  <si>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</si>
  <si>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</si>
  <si>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</si>
  <si>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</si>
  <si>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</si>
  <si>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</si>
  <si>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</si>
  <si>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</si>
  <si>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</si>
  <si>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</si>
  <si>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</si>
  <si>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</si>
  <si>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</si>
  <si>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</si>
  <si>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</si>
  <si>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</si>
  <si>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</si>
  <si>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</si>
  <si>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</si>
  <si>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</si>
  <si>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</si>
  <si>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</si>
  <si>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</si>
  <si>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</si>
  <si>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</si>
  <si>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</si>
  <si>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</si>
  <si>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</si>
  <si>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</si>
  <si>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</si>
  <si>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</si>
  <si>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</si>
  <si>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</si>
  <si>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</si>
  <si>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</si>
  <si>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</si>
  <si>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</si>
  <si>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</si>
  <si>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</si>
  <si>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</si>
  <si>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</si>
  <si>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</si>
  <si>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</si>
  <si>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</si>
  <si>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</si>
  <si>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</si>
  <si>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</si>
  <si>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</si>
  <si>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</si>
  <si>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</si>
  <si>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</si>
  <si>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</si>
  <si>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</si>
  <si>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</si>
  <si>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</si>
  <si>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</si>
  <si>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</si>
  <si>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</si>
  <si>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</si>
  <si>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</si>
  <si>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</si>
  <si>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</si>
  <si>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</si>
  <si>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</si>
  <si>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</si>
  <si>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</si>
  <si>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</si>
  <si>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</si>
  <si>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</si>
  <si>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</si>
  <si>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</si>
  <si>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</si>
  <si>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</si>
  <si>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</si>
  <si>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</si>
  <si>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</si>
  <si>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</si>
  <si>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</si>
  <si>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</si>
  <si>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</si>
  <si>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</si>
  <si>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</si>
  <si>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</si>
  <si>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</si>
  <si>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</si>
  <si>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</si>
  <si>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</si>
  <si>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</si>
  <si>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</si>
  <si>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</si>
  <si>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</si>
  <si>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</si>
  <si>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</si>
  <si>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</si>
  <si>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</si>
  <si>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</si>
  <si>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</si>
  <si>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</si>
  <si>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</si>
  <si>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</si>
  <si>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</si>
  <si>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</si>
  <si>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</si>
  <si>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</si>
  <si>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</si>
  <si>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</si>
  <si>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</si>
  <si>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</si>
  <si>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</si>
  <si>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</si>
  <si>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</si>
  <si>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</si>
  <si>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</si>
  <si>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</si>
  <si>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</si>
  <si>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</si>
  <si>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</si>
  <si>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</si>
  <si>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</si>
  <si>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</si>
  <si>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</si>
  <si>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</si>
  <si>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</si>
  <si>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</si>
  <si>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</si>
  <si>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</si>
  <si>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</si>
  <si>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</si>
  <si>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</si>
  <si>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</si>
  <si>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</si>
  <si>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</si>
  <si>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</si>
  <si>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</si>
  <si>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</si>
  <si>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</si>
  <si>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</si>
  <si>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</si>
  <si>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</si>
  <si>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</si>
  <si>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</si>
  <si>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</si>
  <si>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</si>
  <si>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</si>
  <si>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</si>
  <si>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</si>
  <si>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</si>
  <si>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</si>
  <si>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</si>
  <si>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</si>
  <si>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</si>
  <si>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</si>
  <si>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</si>
  <si>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</si>
  <si>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</si>
  <si>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</si>
  <si>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</si>
  <si>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</si>
  <si>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</si>
  <si>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</si>
  <si>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</si>
  <si>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</si>
  <si>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</si>
  <si>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</si>
  <si>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</si>
  <si>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</si>
  <si>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</si>
  <si>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</si>
  <si>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</si>
  <si>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</si>
  <si>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</si>
  <si>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</si>
  <si>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</si>
  <si>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</si>
  <si>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</si>
  <si>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</si>
  <si>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</si>
  <si>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</si>
  <si>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</si>
  <si>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</si>
  <si>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</si>
  <si>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</si>
  <si>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</si>
  <si>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</si>
  <si>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</si>
  <si>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</si>
  <si>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</si>
  <si>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</si>
  <si>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</si>
  <si>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</si>
  <si>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</si>
  <si>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</si>
  <si>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</si>
  <si>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</si>
  <si>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</si>
  <si>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</si>
  <si>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</si>
  <si>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</si>
  <si>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</si>
  <si>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</si>
  <si>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</si>
  <si>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</si>
  <si>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</si>
  <si>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</si>
  <si>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</si>
  <si>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</si>
  <si>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</si>
  <si>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</si>
  <si>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</si>
  <si>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</si>
  <si>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</si>
  <si>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</si>
  <si>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</si>
  <si>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</si>
  <si>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</si>
  <si>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</si>
  <si>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</si>
  <si>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</si>
  <si>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</si>
  <si>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</si>
  <si>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</si>
  <si>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</si>
  <si>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</si>
  <si>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</si>
  <si>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</si>
  <si>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</si>
  <si>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</si>
  <si>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</si>
  <si>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</si>
  <si>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</si>
  <si>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</si>
  <si>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</si>
  <si>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</si>
  <si>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</si>
  <si>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</si>
  <si>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</si>
  <si>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</si>
  <si>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</si>
  <si>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</si>
  <si>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</si>
  <si>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</si>
  <si>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</si>
  <si>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</si>
  <si>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</si>
  <si>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</si>
  <si>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</si>
  <si>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</si>
  <si>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</si>
  <si>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</si>
  <si>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</si>
  <si>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</si>
  <si>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</si>
  <si>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</si>
  <si>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</si>
  <si>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</si>
  <si>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</si>
  <si>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</si>
  <si>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</si>
  <si>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</si>
  <si>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</si>
  <si>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</si>
  <si>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</si>
  <si>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</si>
  <si>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</si>
  <si>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</si>
  <si>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</si>
  <si>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</si>
  <si>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</si>
  <si>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</si>
  <si>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</si>
  <si>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</si>
  <si>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</si>
  <si>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</si>
  <si>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</si>
  <si>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</si>
  <si>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</si>
  <si>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</si>
  <si>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</si>
  <si>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</si>
  <si>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</si>
  <si>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</si>
  <si>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</si>
  <si>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</si>
  <si>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</si>
  <si>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</si>
  <si>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</si>
  <si>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</si>
  <si>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</si>
  <si>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</si>
  <si>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</si>
  <si>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</si>
  <si>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</si>
  <si>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</si>
  <si>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</si>
  <si>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</si>
  <si>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</si>
  <si>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</si>
  <si>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</si>
  <si>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</si>
  <si>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</si>
  <si>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</si>
  <si>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</si>
  <si>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</si>
  <si>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</si>
  <si>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</si>
  <si>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</si>
  <si>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</si>
  <si>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</si>
  <si>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</si>
  <si>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</si>
  <si>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</si>
  <si>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</si>
  <si>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</si>
  <si>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</si>
  <si>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</si>
  <si>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</si>
  <si>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</si>
  <si>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</si>
  <si>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</si>
  <si>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</si>
  <si>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</si>
  <si>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</si>
  <si>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</si>
  <si>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</si>
  <si>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</si>
  <si>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</si>
  <si>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</si>
  <si>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</si>
  <si>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</si>
  <si>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</si>
  <si>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</si>
  <si>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</si>
  <si>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</si>
  <si>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</si>
  <si>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</si>
  <si>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</si>
  <si>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</si>
  <si>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</si>
  <si>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</si>
  <si>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</si>
  <si>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</si>
  <si>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</si>
  <si>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</si>
  <si>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</si>
  <si>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</si>
  <si>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</si>
  <si>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</si>
  <si>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</si>
  <si>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</si>
  <si>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</si>
  <si>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</si>
  <si>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</si>
  <si>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</si>
  <si>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</si>
  <si>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</si>
  <si>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</si>
  <si>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</si>
  <si>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</si>
  <si>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</si>
  <si>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</si>
  <si>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</si>
  <si>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</si>
  <si>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</si>
  <si>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</si>
  <si>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</si>
  <si>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</si>
  <si>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</si>
  <si>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</si>
  <si>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</si>
  <si>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</si>
  <si>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</si>
  <si>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</si>
  <si>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</si>
  <si>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</si>
  <si>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</si>
  <si>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</si>
  <si>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</si>
  <si>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</si>
  <si>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</si>
  <si>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</si>
  <si>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</si>
  <si>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</si>
  <si>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</si>
  <si>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</si>
  <si>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</si>
  <si>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</si>
  <si>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</si>
  <si>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</si>
  <si>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</si>
  <si>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</si>
  <si>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</si>
  <si>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</si>
  <si>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</si>
  <si>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</si>
  <si>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</si>
  <si>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</si>
  <si>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</si>
  <si>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</si>
  <si>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</si>
  <si>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</si>
  <si>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</si>
  <si>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</si>
  <si>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</si>
  <si>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</si>
  <si>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</si>
  <si>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</si>
  <si>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</si>
  <si>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</si>
  <si>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</si>
  <si>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</si>
  <si>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</si>
  <si>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</si>
  <si>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</si>
  <si>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</si>
  <si>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</si>
  <si>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</si>
  <si>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</si>
  <si>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</si>
  <si>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</si>
  <si>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</si>
  <si>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</si>
  <si>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</si>
  <si>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</si>
  <si>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</si>
  <si>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</si>
  <si>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</si>
  <si>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</si>
  <si>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</si>
  <si>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</si>
  <si>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</si>
  <si>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</si>
  <si>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</si>
  <si>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</si>
  <si>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</si>
  <si>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</si>
  <si>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</si>
  <si>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</si>
  <si>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</si>
  <si>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</si>
  <si>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</si>
  <si>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</si>
  <si>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</si>
  <si>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</si>
  <si>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</si>
  <si>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</si>
  <si>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</si>
  <si>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</si>
  <si>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</si>
  <si>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</si>
  <si>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</si>
  <si>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</si>
  <si>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</si>
  <si>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</si>
  <si>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</si>
  <si>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</si>
  <si>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</si>
  <si>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</si>
  <si>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</si>
  <si>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</si>
  <si>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</si>
  <si>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</si>
  <si>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</si>
  <si>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</si>
  <si>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</si>
  <si>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</si>
  <si>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</si>
  <si>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</si>
  <si>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</si>
  <si>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</si>
  <si>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</si>
  <si>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</si>
  <si>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</si>
  <si>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</si>
  <si>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</si>
  <si>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</si>
  <si>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</si>
  <si>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</si>
  <si>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</si>
  <si>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</si>
  <si>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</si>
  <si>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</si>
  <si>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</si>
  <si>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</si>
  <si>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</si>
  <si>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</si>
  <si>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</si>
  <si>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</si>
  <si>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</si>
  <si>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</si>
  <si>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</si>
  <si>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</si>
  <si>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</si>
  <si>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</si>
  <si>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</si>
  <si>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</si>
  <si>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</si>
  <si>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</si>
  <si>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</si>
  <si>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</si>
  <si>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</si>
  <si>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</si>
  <si>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</si>
  <si>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</si>
  <si>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</si>
  <si>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</si>
  <si>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</si>
  <si>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</si>
  <si>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</si>
  <si>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</si>
  <si>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</si>
  <si>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</si>
  <si>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</si>
  <si>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</si>
  <si>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</si>
  <si>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</si>
  <si>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</si>
  <si>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</si>
  <si>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</si>
  <si>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</si>
  <si>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</si>
  <si>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</si>
  <si>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</si>
  <si>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</si>
  <si>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</si>
  <si>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</si>
  <si>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</si>
  <si>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</si>
  <si>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</si>
  <si>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</si>
  <si>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</si>
  <si>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</si>
  <si>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</si>
  <si>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</si>
  <si>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</si>
  <si>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</si>
  <si>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</si>
  <si>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</si>
  <si>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</si>
  <si>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</si>
  <si>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</si>
  <si>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</si>
  <si>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</si>
  <si>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</si>
  <si>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</si>
  <si>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</si>
  <si>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</si>
  <si>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</si>
  <si>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</si>
  <si>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</si>
  <si>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</si>
  <si>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</si>
  <si>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</si>
  <si>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</si>
  <si>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</si>
  <si>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</si>
  <si>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</si>
  <si>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</si>
  <si>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</si>
  <si>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</si>
  <si>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</si>
  <si>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</si>
  <si>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</si>
  <si>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</si>
  <si>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</si>
  <si>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</si>
  <si>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</si>
  <si>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</si>
  <si>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</si>
  <si>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</si>
  <si>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</si>
  <si>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</si>
  <si>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</si>
  <si>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</si>
  <si>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</si>
  <si>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</si>
  <si>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</si>
  <si>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</si>
  <si>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</si>
  <si>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</si>
  <si>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</si>
  <si>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</si>
  <si>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</si>
  <si>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</si>
  <si>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</si>
  <si>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</si>
  <si>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</si>
  <si>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</si>
  <si>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</si>
  <si>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</si>
  <si>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</si>
  <si>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</si>
  <si>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</si>
  <si>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</si>
  <si>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</si>
  <si>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</si>
  <si>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</si>
  <si>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</si>
  <si>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</si>
  <si>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</si>
  <si>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</si>
  <si>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</si>
  <si>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</si>
  <si>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</si>
  <si>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</si>
  <si>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</si>
  <si>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</si>
  <si>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</si>
  <si>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</si>
  <si>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</si>
  <si>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</si>
  <si>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</si>
  <si>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</si>
  <si>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</si>
  <si>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</si>
  <si>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</si>
  <si>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</si>
  <si>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</si>
  <si>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</si>
  <si>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</si>
  <si>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</si>
  <si>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</si>
  <si>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</si>
  <si>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</si>
  <si>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</si>
  <si>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</si>
  <si>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</si>
  <si>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</si>
  <si>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</si>
  <si>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</si>
  <si>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</si>
  <si>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</si>
  <si>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</si>
  <si>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</si>
  <si>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</si>
  <si>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</si>
  <si>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</si>
  <si>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</si>
  <si>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</si>
  <si>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</si>
  <si>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</si>
  <si>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</si>
  <si>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</si>
  <si>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</si>
  <si>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</si>
  <si>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</si>
  <si>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</si>
  <si>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</si>
  <si>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</si>
  <si>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</si>
  <si>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</si>
  <si>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</si>
  <si>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</si>
  <si>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</si>
  <si>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</si>
  <si>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</si>
  <si>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</si>
  <si>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</si>
  <si>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</si>
  <si>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</si>
  <si>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</si>
  <si>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</si>
  <si>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</si>
  <si>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</si>
  <si>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</si>
  <si>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</si>
  <si>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</si>
  <si>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</si>
  <si>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</si>
  <si>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</si>
  <si>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</si>
  <si>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</si>
  <si>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</si>
  <si>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</si>
  <si>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</si>
  <si>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</si>
  <si>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</si>
  <si>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</si>
  <si>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</si>
  <si>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</si>
  <si>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</si>
  <si>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</si>
  <si>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</si>
  <si>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</si>
  <si>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</si>
  <si>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</si>
  <si>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</si>
  <si>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</si>
  <si>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</si>
  <si>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</si>
  <si>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</si>
  <si>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</si>
  <si>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</si>
  <si>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</si>
  <si>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</si>
  <si>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</si>
  <si>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</si>
  <si>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</si>
  <si>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</si>
  <si>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</si>
  <si>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</si>
  <si>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</si>
  <si>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</si>
  <si>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</si>
  <si>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</si>
  <si>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</si>
  <si>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</si>
  <si>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</si>
  <si>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</si>
  <si>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</si>
  <si>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</si>
  <si>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</si>
  <si>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</si>
  <si>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</si>
  <si>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</si>
  <si>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</si>
  <si>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</si>
  <si>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</si>
  <si>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</si>
  <si>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</si>
  <si>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</si>
  <si>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</si>
  <si>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</si>
  <si>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</si>
  <si>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</si>
  <si>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</si>
  <si>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</si>
  <si>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</si>
  <si>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</si>
  <si>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</si>
  <si>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</si>
  <si>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</si>
  <si>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</si>
  <si>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</si>
  <si>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</si>
  <si>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</si>
  <si>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</si>
  <si>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</si>
  <si>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</si>
  <si>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</si>
  <si>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</si>
  <si>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</si>
  <si>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</si>
  <si>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</si>
  <si>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</si>
  <si>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</si>
  <si>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</si>
  <si>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</si>
  <si>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</si>
  <si>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</si>
  <si>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</si>
  <si>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</si>
  <si>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</si>
  <si>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</si>
  <si>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</si>
  <si>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</si>
  <si>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</si>
  <si>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</si>
  <si>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</si>
  <si>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</si>
  <si>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</si>
  <si>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</si>
  <si>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</si>
  <si>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</si>
  <si>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</si>
  <si>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</si>
  <si>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</si>
  <si>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</si>
  <si>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</si>
  <si>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</si>
  <si>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</si>
  <si>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</si>
  <si>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</si>
  <si>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</si>
  <si>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</si>
  <si>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</si>
  <si>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</si>
  <si>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</si>
  <si>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</si>
  <si>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</si>
  <si>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</si>
  <si>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</si>
  <si>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</si>
  <si>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</si>
  <si>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</si>
  <si>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</si>
  <si>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</si>
  <si>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</si>
  <si>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</si>
  <si>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</si>
  <si>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</si>
  <si>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</si>
  <si>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</si>
  <si>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</si>
  <si>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</si>
  <si>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</si>
  <si>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</si>
  <si>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</si>
  <si>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</si>
  <si>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</si>
  <si>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</si>
  <si>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</si>
  <si>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</si>
  <si>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</si>
  <si>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</si>
  <si>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</si>
  <si>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</si>
  <si>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</si>
  <si>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</si>
  <si>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</si>
  <si>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</si>
  <si>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</si>
  <si>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</si>
  <si>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</si>
  <si>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</si>
  <si>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</si>
  <si>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</si>
  <si>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</si>
  <si>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</si>
  <si>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</si>
  <si>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</si>
  <si>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</si>
  <si>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</si>
  <si>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</si>
  <si>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</si>
  <si>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</si>
  <si>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</si>
  <si>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</si>
  <si>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</si>
  <si>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</si>
  <si>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</si>
  <si>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</si>
  <si>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</si>
  <si>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</si>
  <si>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</si>
  <si>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</si>
  <si>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</si>
  <si>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</si>
  <si>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</si>
  <si>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</si>
  <si>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</si>
  <si>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</si>
  <si>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</si>
  <si>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</si>
  <si>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</si>
  <si>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</si>
  <si>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</si>
  <si>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</si>
  <si>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</si>
  <si>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</si>
  <si>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</si>
  <si>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</si>
  <si>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</si>
  <si>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</si>
  <si>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</si>
  <si>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</si>
  <si>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</si>
  <si>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</si>
  <si>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</si>
  <si>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</si>
  <si>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</si>
  <si>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</si>
  <si>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</si>
  <si>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</si>
  <si>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</si>
  <si>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</si>
  <si>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</si>
  <si>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</si>
  <si>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</si>
  <si>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</si>
  <si>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</si>
  <si>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</si>
  <si>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</si>
  <si>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</si>
  <si>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</si>
  <si>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</si>
  <si>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</si>
  <si>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</si>
  <si>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</si>
  <si>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</si>
  <si>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</si>
  <si>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</si>
  <si>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</si>
  <si>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</si>
  <si>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</si>
  <si>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</si>
  <si>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</si>
  <si>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</si>
  <si>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</si>
  <si>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</si>
  <si>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</si>
  <si>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</si>
  <si>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</si>
  <si>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</si>
  <si>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</si>
  <si>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</si>
  <si>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</si>
  <si>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</si>
  <si>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</si>
  <si>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</si>
  <si>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</si>
  <si>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</si>
  <si>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</si>
  <si>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</si>
  <si>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</si>
  <si>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</si>
  <si>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</si>
  <si>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</si>
  <si>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</si>
  <si>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</si>
  <si>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</si>
  <si>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</si>
  <si>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</si>
  <si>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</si>
  <si>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</si>
  <si>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</si>
  <si>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</si>
  <si>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</si>
  <si>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</si>
  <si>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</si>
  <si>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</si>
  <si>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</si>
  <si>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</si>
  <si>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</si>
  <si>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</si>
  <si>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</si>
  <si>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</si>
  <si>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</si>
  <si>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</si>
  <si>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</si>
  <si>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</si>
  <si>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</si>
  <si>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</si>
  <si>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</si>
  <si>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</si>
  <si>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</si>
  <si>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</si>
  <si>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</si>
  <si>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</si>
  <si>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</si>
  <si>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</si>
  <si>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</si>
  <si>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</si>
  <si>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</si>
  <si>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</si>
  <si>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</si>
  <si>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</si>
  <si>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</si>
  <si>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</si>
  <si>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</si>
  <si>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</si>
  <si>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</si>
  <si>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</si>
  <si>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</si>
  <si>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</si>
  <si>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</si>
  <si>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</si>
  <si>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</si>
  <si>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</si>
  <si>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</si>
  <si>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</si>
  <si>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</si>
  <si>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</si>
  <si>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</si>
  <si>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</si>
  <si>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</si>
  <si>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</si>
  <si>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</si>
  <si>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</si>
  <si>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</si>
  <si>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</si>
  <si>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</si>
  <si>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</si>
  <si>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</si>
  <si>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</si>
  <si>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</si>
  <si>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</si>
  <si>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</si>
  <si>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</si>
  <si>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</si>
  <si>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</si>
  <si>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</si>
  <si>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</si>
  <si>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</si>
  <si>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</si>
  <si>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</si>
  <si>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</si>
  <si>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</si>
  <si>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</si>
  <si>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</si>
  <si>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</si>
  <si>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</si>
  <si>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</si>
  <si>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</si>
  <si>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</si>
  <si>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</si>
  <si>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</si>
  <si>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</si>
  <si>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</si>
  <si>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</si>
  <si>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</si>
  <si>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</si>
  <si>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</si>
  <si>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</si>
  <si>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</si>
  <si>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</si>
  <si>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</si>
  <si>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</si>
  <si>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</si>
  <si>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</si>
  <si>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</si>
  <si>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</si>
  <si>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</si>
  <si>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</si>
  <si>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</si>
  <si>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</si>
  <si>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</si>
  <si>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</si>
  <si>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</si>
  <si>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</si>
  <si>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</si>
  <si>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</si>
  <si>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</si>
  <si>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</si>
  <si>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</si>
  <si>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</si>
  <si>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</si>
  <si>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</si>
  <si>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</si>
  <si>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</si>
  <si>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</si>
  <si>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</si>
  <si>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</si>
  <si>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</si>
  <si>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</si>
  <si>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</si>
  <si>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</si>
  <si>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</si>
  <si>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</si>
  <si>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</si>
  <si>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</si>
  <si>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</si>
  <si>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</si>
  <si>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</si>
  <si>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</si>
  <si>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</si>
  <si>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</si>
  <si>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</si>
  <si>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</si>
  <si>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</si>
  <si>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</si>
  <si>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</si>
  <si>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</si>
  <si>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</si>
  <si>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</si>
  <si>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</si>
  <si>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</si>
  <si>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</si>
  <si>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</si>
  <si>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</si>
  <si>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</si>
  <si>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</si>
  <si>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</si>
  <si>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</si>
  <si>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</si>
  <si>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</si>
  <si>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</si>
  <si>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</si>
  <si>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</si>
  <si>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</si>
  <si>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</si>
  <si>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</si>
  <si>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</si>
  <si>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</si>
  <si>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</si>
  <si>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</si>
  <si>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</si>
  <si>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</si>
  <si>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</si>
  <si>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</si>
  <si>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</si>
  <si>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</si>
  <si>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</si>
  <si>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</si>
  <si>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</si>
  <si>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</si>
  <si>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</si>
  <si>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</si>
  <si>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</si>
  <si>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</si>
  <si>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</si>
  <si>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</si>
  <si>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</si>
  <si>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</si>
  <si>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</si>
  <si>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</si>
  <si>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</si>
  <si>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</si>
  <si>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</si>
  <si>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</si>
  <si>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</si>
  <si>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</si>
  <si>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</si>
  <si>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</si>
  <si>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</si>
  <si>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</si>
  <si>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</si>
  <si>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</si>
  <si>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</si>
  <si>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</si>
  <si>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</si>
  <si>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</si>
  <si>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</si>
  <si>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</si>
  <si>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</si>
  <si>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</si>
  <si>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</si>
  <si>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</si>
  <si>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</si>
  <si>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</si>
  <si>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</si>
  <si>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</si>
  <si>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</si>
  <si>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</si>
  <si>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</si>
  <si>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</si>
  <si>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</si>
  <si>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</si>
  <si>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</si>
  <si>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</si>
  <si>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</si>
  <si>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</si>
  <si>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</si>
  <si>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</si>
  <si>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</si>
  <si>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</si>
  <si>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</si>
  <si>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</si>
  <si>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</si>
  <si>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</si>
  <si>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</si>
  <si>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</si>
  <si>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</si>
  <si>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</si>
  <si>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</si>
  <si>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</si>
  <si>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</si>
  <si>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</si>
  <si>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</si>
  <si>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</si>
  <si>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</si>
  <si>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</si>
  <si>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</si>
  <si>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</si>
  <si>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</si>
  <si>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</si>
  <si>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</si>
  <si>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</si>
  <si>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</si>
  <si>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</si>
  <si>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</si>
  <si>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</si>
  <si>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</si>
  <si>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</si>
  <si>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</si>
  <si>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</si>
  <si>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</si>
  <si>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</si>
  <si>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</si>
  <si>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</si>
  <si>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</si>
  <si>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</si>
  <si>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</si>
  <si>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</si>
  <si>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</si>
  <si>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</si>
  <si>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</si>
  <si>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</si>
  <si>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</si>
  <si>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</si>
  <si>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</si>
  <si>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</si>
  <si>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</si>
  <si>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</si>
  <si>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</si>
  <si>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</si>
  <si>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</si>
  <si>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</si>
  <si>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</si>
  <si>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</si>
  <si>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</si>
  <si>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</si>
  <si>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</si>
  <si>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</si>
  <si>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</si>
  <si>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</si>
  <si>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</si>
  <si>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</si>
  <si>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</si>
  <si>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</si>
  <si>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</si>
  <si>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</si>
  <si>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</si>
  <si>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</si>
  <si>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</si>
  <si>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</si>
  <si>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</si>
  <si>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</si>
  <si>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</si>
  <si>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</si>
  <si>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</si>
  <si>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</si>
  <si>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</si>
  <si>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</si>
  <si>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</si>
  <si>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</si>
  <si>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</si>
  <si>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</si>
  <si>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</si>
  <si>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</si>
  <si>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</si>
  <si>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</si>
  <si>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</si>
  <si>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</si>
  <si>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</si>
  <si>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</si>
  <si>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</si>
  <si>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</si>
  <si>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</si>
  <si>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</si>
  <si>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</si>
  <si>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</si>
  <si>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</si>
  <si>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</si>
  <si>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</si>
  <si>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</si>
  <si>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</si>
  <si>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</si>
  <si>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</si>
  <si>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</si>
  <si>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</si>
  <si>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</si>
  <si>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</si>
  <si>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</si>
  <si>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</si>
  <si>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</si>
  <si>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</si>
  <si>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</si>
  <si>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</si>
  <si>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</si>
  <si>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</si>
  <si>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</si>
  <si>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</si>
  <si>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</si>
  <si>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</si>
  <si>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</si>
  <si>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</si>
  <si>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</si>
  <si>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</si>
  <si>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</si>
  <si>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</si>
  <si>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</si>
  <si>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</si>
  <si>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</si>
  <si>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</si>
  <si>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</si>
  <si>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</si>
  <si>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</si>
  <si>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</si>
  <si>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</si>
  <si>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</si>
  <si>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</si>
  <si>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</si>
  <si>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</si>
  <si>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</si>
  <si>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</si>
  <si>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</si>
  <si>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</si>
  <si>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</si>
  <si>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</si>
  <si>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</si>
  <si>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</si>
  <si>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</si>
  <si>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</si>
  <si>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</si>
  <si>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</si>
  <si>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</si>
  <si>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</si>
  <si>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</si>
  <si>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</si>
  <si>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</si>
  <si>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</si>
  <si>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</si>
  <si>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</si>
  <si>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</si>
  <si>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</si>
  <si>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</si>
  <si>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</si>
  <si>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</si>
  <si>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</si>
  <si>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</si>
  <si>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</si>
  <si>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</si>
  <si>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</si>
  <si>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</si>
  <si>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</si>
  <si>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</si>
  <si>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</si>
  <si>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</si>
  <si>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</si>
  <si>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</si>
  <si>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</si>
  <si>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</si>
  <si>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</si>
  <si>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</si>
  <si>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</si>
  <si>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</si>
  <si>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</si>
  <si>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</si>
  <si>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</si>
  <si>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</si>
  <si>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</si>
  <si>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</si>
  <si>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</si>
  <si>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</si>
  <si>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</si>
  <si>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</si>
  <si>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</si>
  <si>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</si>
  <si>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</si>
  <si>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</si>
  <si>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</si>
  <si>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</si>
  <si>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</si>
  <si>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</si>
  <si>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</si>
  <si>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</si>
  <si>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</si>
  <si>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</si>
  <si>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</si>
  <si>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</si>
  <si>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</si>
  <si>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</si>
  <si>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</si>
  <si>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</si>
  <si>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</si>
  <si>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</si>
  <si>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</si>
  <si>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</si>
  <si>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</si>
  <si>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</si>
  <si>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</si>
  <si>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</si>
  <si>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</si>
  <si>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</si>
  <si>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</si>
  <si>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</si>
  <si>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</si>
  <si>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</si>
  <si>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</si>
  <si>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</si>
  <si>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</si>
  <si>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</si>
  <si>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</si>
  <si>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</si>
  <si>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</si>
  <si>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</si>
  <si>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</si>
  <si>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</si>
  <si>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</si>
  <si>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</si>
  <si>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</si>
  <si>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</si>
  <si>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</si>
  <si>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</si>
  <si>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</si>
  <si>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</si>
  <si>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</si>
  <si>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</si>
  <si>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</si>
  <si>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</si>
  <si>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</si>
  <si>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</si>
  <si>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</si>
  <si>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</si>
  <si>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</si>
  <si>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</si>
  <si>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</si>
  <si>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</si>
  <si>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</si>
  <si>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</si>
  <si>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</si>
  <si>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</si>
  <si>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</si>
  <si>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</si>
  <si>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</si>
  <si>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</si>
  <si>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</si>
  <si>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</si>
  <si>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</si>
  <si>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</si>
  <si>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</si>
  <si>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</si>
  <si>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</si>
  <si>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</si>
  <si>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</si>
  <si>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</si>
  <si>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</si>
  <si>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</si>
  <si>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</si>
  <si>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</si>
  <si>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</si>
  <si>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</si>
  <si>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</si>
  <si>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</si>
  <si>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</si>
  <si>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</si>
  <si>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</si>
  <si>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</si>
  <si>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</si>
  <si>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</si>
  <si>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</si>
  <si>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</si>
  <si>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</si>
  <si>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</si>
  <si>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</si>
  <si>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</si>
  <si>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</si>
  <si>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</si>
  <si>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</si>
  <si>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</si>
  <si>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</si>
  <si>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</si>
  <si>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</si>
  <si>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</si>
  <si>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</si>
  <si>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</si>
  <si>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</si>
  <si>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</si>
  <si>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</si>
  <si>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</si>
  <si>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</si>
  <si>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</si>
  <si>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</si>
  <si>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</si>
  <si>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</si>
  <si>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</si>
  <si>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</si>
  <si>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</si>
  <si>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</si>
  <si>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</si>
  <si>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</si>
  <si>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</si>
  <si>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</si>
  <si>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</si>
  <si>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</si>
  <si>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</si>
  <si>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</si>
  <si>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</si>
  <si>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</si>
  <si>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</si>
  <si>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</si>
  <si>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</si>
  <si>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</si>
  <si>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</si>
  <si>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</si>
  <si>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</si>
  <si>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</si>
  <si>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</si>
  <si>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</si>
  <si>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</si>
  <si>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</si>
  <si>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</si>
  <si>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</si>
  <si>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</si>
  <si>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</si>
  <si>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</si>
  <si>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</si>
  <si>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</si>
  <si>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</si>
  <si>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</si>
  <si>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</si>
  <si>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</si>
  <si>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</si>
  <si>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</si>
  <si>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</si>
  <si>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</si>
  <si>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</si>
  <si>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</si>
  <si>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</si>
  <si>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</si>
  <si>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</si>
  <si>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</si>
  <si>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</si>
  <si>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</si>
  <si>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</si>
  <si>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</si>
  <si>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</si>
  <si>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</si>
  <si>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</si>
  <si>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</si>
  <si>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</si>
  <si>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</si>
  <si>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</si>
  <si>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</si>
  <si>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</si>
  <si>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</si>
  <si>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</si>
  <si>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</si>
  <si>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</si>
  <si>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</si>
  <si>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</si>
  <si>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</si>
  <si>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</si>
  <si>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</si>
  <si>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</si>
  <si>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</si>
  <si>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</si>
  <si>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</si>
  <si>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</si>
  <si>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</si>
  <si>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</si>
  <si>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</si>
  <si>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</si>
  <si>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</si>
  <si>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</si>
  <si>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</si>
  <si>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</si>
  <si>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</si>
  <si>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</si>
  <si>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</si>
  <si>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</si>
  <si>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</si>
  <si>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</si>
  <si>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</si>
  <si>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</si>
  <si>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</si>
  <si>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</si>
  <si>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</si>
  <si>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</si>
  <si>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</si>
  <si>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</si>
  <si>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</si>
  <si>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</si>
  <si>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</si>
  <si>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</si>
  <si>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</si>
  <si>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</si>
  <si>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</si>
  <si>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</si>
  <si>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</si>
  <si>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</si>
  <si>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</si>
  <si>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</si>
  <si>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</si>
  <si>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</si>
  <si>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</si>
  <si>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</si>
  <si>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</si>
  <si>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</si>
  <si>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</si>
  <si>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</si>
  <si>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</si>
  <si>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</si>
  <si>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</si>
  <si>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</si>
  <si>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</si>
  <si>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</si>
  <si>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</si>
  <si>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</si>
  <si>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</si>
  <si>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</si>
  <si>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</si>
  <si>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</si>
  <si>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</si>
  <si>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</si>
  <si>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</si>
  <si>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</si>
  <si>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</si>
  <si>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</si>
  <si>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</si>
  <si>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</si>
  <si>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</si>
  <si>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</si>
  <si>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</si>
  <si>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</si>
  <si>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</si>
  <si>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</si>
  <si>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</si>
  <si>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</si>
  <si>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</si>
  <si>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</si>
  <si>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</si>
  <si>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</si>
  <si>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</si>
  <si>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</si>
  <si>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</si>
  <si>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</si>
  <si>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</si>
  <si>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</si>
  <si>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</si>
  <si>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</si>
  <si>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</si>
  <si>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</si>
  <si>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</si>
  <si>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</si>
  <si>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</si>
  <si>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</si>
  <si>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</si>
  <si>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</si>
  <si>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</si>
  <si>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</si>
  <si>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</si>
  <si>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</si>
  <si>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</si>
  <si>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</si>
  <si>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</si>
  <si>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</si>
  <si>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</si>
  <si>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</si>
  <si>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</si>
  <si>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</si>
  <si>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</si>
  <si>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</si>
  <si>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</si>
  <si>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</si>
  <si>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</si>
  <si>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</si>
  <si>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</si>
  <si>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</si>
  <si>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</si>
  <si>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</si>
  <si>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</si>
  <si>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</si>
  <si>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</si>
  <si>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</si>
  <si>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</si>
  <si>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</si>
  <si>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</si>
  <si>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</si>
  <si>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</si>
  <si>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</si>
  <si>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</si>
  <si>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</si>
  <si>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</si>
  <si>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</si>
  <si>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</si>
  <si>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</si>
  <si>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</si>
  <si>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</si>
  <si>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</si>
  <si>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</si>
  <si>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</si>
  <si>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</si>
  <si>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</si>
  <si>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</si>
  <si>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</si>
  <si>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</si>
  <si>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</si>
  <si>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</si>
  <si>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</si>
  <si>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</si>
  <si>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</si>
  <si>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</si>
  <si>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</si>
  <si>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</si>
  <si>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</si>
  <si>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</si>
  <si>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</si>
  <si>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</si>
  <si>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</si>
  <si>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</si>
  <si>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</si>
  <si>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</si>
  <si>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</si>
  <si>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</si>
  <si>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</si>
  <si>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</si>
  <si>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</si>
  <si>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</si>
  <si>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</si>
  <si>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</si>
  <si>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</si>
  <si>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</si>
  <si>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</si>
  <si>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</si>
  <si>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</si>
  <si>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</si>
  <si>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</si>
  <si>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</si>
  <si>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</si>
  <si>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</si>
  <si>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</si>
  <si>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</si>
  <si>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</si>
  <si>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</si>
  <si>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</si>
  <si>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</si>
  <si>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</si>
  <si>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</si>
  <si>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</si>
  <si>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</si>
  <si>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</si>
  <si>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</si>
  <si>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</si>
  <si>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</si>
  <si>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</si>
  <si>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</si>
  <si>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</si>
  <si>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</si>
  <si>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</si>
  <si>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</si>
  <si>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</si>
  <si>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</si>
  <si>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</si>
  <si>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</si>
  <si>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</si>
  <si>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</si>
  <si>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</si>
  <si>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</si>
  <si>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</si>
  <si>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</si>
  <si>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</si>
  <si>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</si>
  <si>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</si>
  <si>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</si>
  <si>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</si>
  <si>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</si>
  <si>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</si>
  <si>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</si>
  <si>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</si>
  <si>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</si>
  <si>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</si>
  <si>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</si>
  <si>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</si>
  <si>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</si>
  <si>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</si>
  <si>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</si>
  <si>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</si>
  <si>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</si>
  <si>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</si>
  <si>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</si>
  <si>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</si>
  <si>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</si>
  <si>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</si>
  <si>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</si>
  <si>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</si>
  <si>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</si>
  <si>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</si>
  <si>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</si>
  <si>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</si>
  <si>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</si>
  <si>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</si>
  <si>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</si>
  <si>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</si>
  <si>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</si>
  <si>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</si>
  <si>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</si>
  <si>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</si>
  <si>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</si>
  <si>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</si>
  <si>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</si>
  <si>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</si>
  <si>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</si>
  <si>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</si>
  <si>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</si>
  <si>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</si>
  <si>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</si>
  <si>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</si>
  <si>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</si>
  <si>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</si>
  <si>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</si>
  <si>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</si>
  <si>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</si>
  <si>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</si>
  <si>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</si>
  <si>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</si>
  <si>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</si>
  <si>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</si>
  <si>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</si>
  <si>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</si>
  <si>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</si>
  <si>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</si>
  <si>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</si>
  <si>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</si>
  <si>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</si>
  <si>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</si>
  <si>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</si>
  <si>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</si>
  <si>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</si>
  <si>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</si>
  <si>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</si>
  <si>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</si>
  <si>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</si>
  <si>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</si>
  <si>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</si>
  <si>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</si>
  <si>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</si>
  <si>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</si>
  <si>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</si>
  <si>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</si>
  <si>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</si>
  <si>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</si>
  <si>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</si>
  <si>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</si>
  <si>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</si>
  <si>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</si>
  <si>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</si>
  <si>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</si>
  <si>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</si>
  <si>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</si>
  <si>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</si>
  <si>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</si>
  <si>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</si>
  <si>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</si>
  <si>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</si>
  <si>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</si>
  <si>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</si>
  <si>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</si>
  <si>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</si>
  <si>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</si>
  <si>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</si>
  <si>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</si>
  <si>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</si>
  <si>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</si>
  <si>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</si>
  <si>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</si>
  <si>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</si>
  <si>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</si>
  <si>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</si>
  <si>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</si>
  <si>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</si>
  <si>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</si>
  <si>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</si>
  <si>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</si>
  <si>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</si>
  <si>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</si>
  <si>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</si>
  <si>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</si>
  <si>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</si>
  <si>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</si>
  <si>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</si>
  <si>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</si>
  <si>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</si>
  <si>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</si>
  <si>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</si>
  <si>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</si>
  <si>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</si>
  <si>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</si>
  <si>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</si>
  <si>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</si>
  <si>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</si>
  <si>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</si>
  <si>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</si>
  <si>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</si>
  <si>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</si>
  <si>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</si>
  <si>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</si>
  <si>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</si>
  <si>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</si>
  <si>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</si>
  <si>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</si>
  <si>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</si>
  <si>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</si>
  <si>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</si>
  <si>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</si>
  <si>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</si>
  <si>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</si>
  <si>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</si>
  <si>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</si>
  <si>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</si>
  <si>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</si>
  <si>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</si>
  <si>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</si>
  <si>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</si>
  <si>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</si>
  <si>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</si>
  <si>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</si>
  <si>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</si>
  <si>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</si>
  <si>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</si>
  <si>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</si>
  <si>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</si>
  <si>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</si>
  <si>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</si>
  <si>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</si>
  <si>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</si>
  <si>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</si>
  <si>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</si>
  <si>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</si>
  <si>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</si>
  <si>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</si>
  <si>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</si>
  <si>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</si>
  <si>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</si>
  <si>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</si>
  <si>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</si>
  <si>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</si>
  <si>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</si>
  <si>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</si>
  <si>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</si>
  <si>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</si>
  <si>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</si>
  <si>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</si>
  <si>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</si>
  <si>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</si>
  <si>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</si>
  <si>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</si>
  <si>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</si>
  <si>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</si>
  <si>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</si>
  <si>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</si>
  <si>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</si>
  <si>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</si>
  <si>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</si>
  <si>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</si>
  <si>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</si>
  <si>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</si>
  <si>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</si>
  <si>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</si>
  <si>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</si>
  <si>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</si>
  <si>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</si>
  <si>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</si>
  <si>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</si>
  <si>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</si>
  <si>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</si>
  <si>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</si>
  <si>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</si>
  <si>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</si>
  <si>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</si>
  <si>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</si>
  <si>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</si>
  <si>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</si>
  <si>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</si>
  <si>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</si>
  <si>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</si>
  <si>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</si>
  <si>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</si>
  <si>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</si>
  <si>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</si>
  <si>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</si>
  <si>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</si>
  <si>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</si>
  <si>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</si>
  <si>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</si>
  <si>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</si>
  <si>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</si>
  <si>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</si>
  <si>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</si>
  <si>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</si>
  <si>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</si>
  <si>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</si>
  <si>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</si>
  <si>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</si>
  <si>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</si>
  <si>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</si>
  <si>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</si>
  <si>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</si>
  <si>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</si>
  <si>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</si>
  <si>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</si>
  <si>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</si>
  <si>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</si>
  <si>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</si>
  <si>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</si>
  <si>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</si>
  <si>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</si>
  <si>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</si>
  <si>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</si>
  <si>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</si>
  <si>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</si>
  <si>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</si>
  <si>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</si>
  <si>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</si>
  <si>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</si>
  <si>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</si>
  <si>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</si>
  <si>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</si>
  <si>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</si>
  <si>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</si>
  <si>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</si>
  <si>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</si>
  <si>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</si>
  <si>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</si>
  <si>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</si>
  <si>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</si>
  <si>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</si>
  <si>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</si>
  <si>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</si>
  <si>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</si>
  <si>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</si>
  <si>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</si>
  <si>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</si>
  <si>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</si>
  <si>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</si>
  <si>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</si>
  <si>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</si>
  <si>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</si>
  <si>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</si>
  <si>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</si>
  <si>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</si>
  <si>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</si>
  <si>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</si>
  <si>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</si>
  <si>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</si>
  <si>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</si>
  <si>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</si>
  <si>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</si>
  <si>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</si>
  <si>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</si>
  <si>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</si>
  <si>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</si>
  <si>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</si>
  <si>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</si>
  <si>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</si>
  <si>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</si>
  <si>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</si>
  <si>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</si>
  <si>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</si>
  <si>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</si>
  <si>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</si>
  <si>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</si>
  <si>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</si>
  <si>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</si>
  <si>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</si>
  <si>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</si>
  <si>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</si>
  <si>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</si>
  <si>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</si>
  <si>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</si>
  <si>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</si>
  <si>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</si>
  <si>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</si>
  <si>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</si>
  <si>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</si>
  <si>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</si>
  <si>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</si>
  <si>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</si>
  <si>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</si>
  <si>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</si>
  <si>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</si>
  <si>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</si>
  <si>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</si>
  <si>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</si>
  <si>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</si>
  <si>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</si>
  <si>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</si>
  <si>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</si>
  <si>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</si>
  <si>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</si>
  <si>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</si>
  <si>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</si>
  <si>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</si>
  <si>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</si>
  <si>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</si>
  <si>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</si>
  <si>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</si>
  <si>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</si>
  <si>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</si>
  <si>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</si>
  <si>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</si>
  <si>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</si>
  <si>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</si>
  <si>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</si>
  <si>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</si>
  <si>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</si>
  <si>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</si>
  <si>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</si>
  <si>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</si>
  <si>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</si>
  <si>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</si>
  <si>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</si>
  <si>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</si>
  <si>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</si>
  <si>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</si>
  <si>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</si>
  <si>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</si>
  <si>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</si>
  <si>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</si>
  <si>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</si>
  <si>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</si>
  <si>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</si>
  <si>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</si>
  <si>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</si>
  <si>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</si>
  <si>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</si>
  <si>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</si>
  <si>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</si>
  <si>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</si>
  <si>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</si>
  <si>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</si>
  <si>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</si>
  <si>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</si>
  <si>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</si>
  <si>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</si>
  <si>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</si>
  <si>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</si>
  <si>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</si>
  <si>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</si>
  <si>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</si>
  <si>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</si>
  <si>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</si>
  <si>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</si>
  <si>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</si>
  <si>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</si>
  <si>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</si>
  <si>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</si>
  <si>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</si>
  <si>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</si>
  <si>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</si>
  <si>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</si>
  <si>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</si>
  <si>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</si>
  <si>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</si>
  <si>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</si>
  <si>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</si>
  <si>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</si>
  <si>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</si>
  <si>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</si>
  <si>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</si>
  <si>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</si>
  <si>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</si>
  <si>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</si>
  <si>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</si>
  <si>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</si>
  <si>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</si>
  <si>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</si>
  <si>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</si>
  <si>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</si>
  <si>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</si>
  <si>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</si>
  <si>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</si>
  <si>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</si>
  <si>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</si>
  <si>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</si>
  <si>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</si>
  <si>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</si>
  <si>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</si>
  <si>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</si>
  <si>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</si>
  <si>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</si>
  <si>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</si>
  <si>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</si>
  <si>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</si>
  <si>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</si>
  <si>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</si>
  <si>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</si>
  <si>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</si>
  <si>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</si>
  <si>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</si>
  <si>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</si>
  <si>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</si>
  <si>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</si>
  <si>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</si>
  <si>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</si>
  <si>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</si>
  <si>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</si>
  <si>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</si>
  <si>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</si>
  <si>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</si>
  <si>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</si>
  <si>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</si>
  <si>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</si>
  <si>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</si>
  <si>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</si>
  <si>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</si>
  <si>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</si>
  <si>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</si>
  <si>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</si>
  <si>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</si>
  <si>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</si>
  <si>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</si>
  <si>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</si>
  <si>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</si>
  <si>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</si>
  <si>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</si>
  <si>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</si>
  <si>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</si>
  <si>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</si>
  <si>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</si>
  <si>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</si>
  <si>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</si>
  <si>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</si>
  <si>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</si>
  <si>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</si>
  <si>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</si>
  <si>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</si>
  <si>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</si>
  <si>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</si>
  <si>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</si>
  <si>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</si>
  <si>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</si>
  <si>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</si>
  <si>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</si>
  <si>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</si>
  <si>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</si>
  <si>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</si>
  <si>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</si>
  <si>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</si>
  <si>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</si>
  <si>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</si>
  <si>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</si>
  <si>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</si>
  <si>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</si>
  <si>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</si>
  <si>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</si>
  <si>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</si>
  <si>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</si>
  <si>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</si>
  <si>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</si>
  <si>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</si>
  <si>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</si>
  <si>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</si>
  <si>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</si>
  <si>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</si>
  <si>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</si>
  <si>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</si>
  <si>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</si>
  <si>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</si>
  <si>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</si>
  <si>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</si>
  <si>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</si>
  <si>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</si>
  <si>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</si>
  <si>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</si>
  <si>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</si>
  <si>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</si>
  <si>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</si>
  <si>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</si>
  <si>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</si>
  <si>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</si>
  <si>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</si>
  <si>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</si>
  <si>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</si>
  <si>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</si>
  <si>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</si>
  <si>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</si>
  <si>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</si>
  <si>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</si>
  <si>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</si>
  <si>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</si>
  <si>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</si>
  <si>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</si>
  <si>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</si>
  <si>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</si>
  <si>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</si>
  <si>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</si>
  <si>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</si>
  <si>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</si>
  <si>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</si>
  <si>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</si>
  <si>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</si>
  <si>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</si>
  <si>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</si>
  <si>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</si>
  <si>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</si>
  <si>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</si>
  <si>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</si>
  <si>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</si>
  <si>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</si>
  <si>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</si>
  <si>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</si>
  <si>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</si>
  <si>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</si>
  <si>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</si>
  <si>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</si>
  <si>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</si>
  <si>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</si>
  <si>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</si>
  <si>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</si>
  <si>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</si>
  <si>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</si>
  <si>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</si>
  <si>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</si>
  <si>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</si>
  <si>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</si>
  <si>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</si>
  <si>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</si>
  <si>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</si>
  <si>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</si>
  <si>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</si>
  <si>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</si>
  <si>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</si>
  <si>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</si>
  <si>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</si>
  <si>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</si>
  <si>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</si>
  <si>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</si>
  <si>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</si>
  <si>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</si>
  <si>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</si>
  <si>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</si>
  <si>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</si>
  <si>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</si>
  <si>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</si>
  <si>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</si>
  <si>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</si>
  <si>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</si>
  <si>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</si>
  <si>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</si>
  <si>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</si>
  <si>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</si>
  <si>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</si>
  <si>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</si>
  <si>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</si>
  <si>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</si>
  <si>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</si>
  <si>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</si>
  <si>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</si>
  <si>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</si>
  <si>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</si>
  <si>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</si>
  <si>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</si>
  <si>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</si>
  <si>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</si>
  <si>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</si>
  <si>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</si>
  <si>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</si>
  <si>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</si>
  <si>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</si>
  <si>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</si>
  <si>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</si>
  <si>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</si>
  <si>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</si>
  <si>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</si>
  <si>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</si>
  <si>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</si>
  <si>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</si>
  <si>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</si>
  <si>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</si>
  <si>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</si>
  <si>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</si>
  <si>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</si>
  <si>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</si>
  <si>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</si>
  <si>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</si>
  <si>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</si>
  <si>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</si>
  <si>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</si>
  <si>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</si>
  <si>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</si>
  <si>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</si>
  <si>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</si>
  <si>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</si>
  <si>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</si>
  <si>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</si>
  <si>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</si>
  <si>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</si>
  <si>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</si>
  <si>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</si>
  <si>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</si>
  <si>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</si>
  <si>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</si>
  <si>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</si>
  <si>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</si>
  <si>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</si>
  <si>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</si>
  <si>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</si>
  <si>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</si>
  <si>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</si>
  <si>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</si>
  <si>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</si>
  <si>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</si>
  <si>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</si>
  <si>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</si>
  <si>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</si>
  <si>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</si>
  <si>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</si>
  <si>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</si>
  <si>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</si>
  <si>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</si>
  <si>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</si>
  <si>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</si>
  <si>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</si>
  <si>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</si>
  <si>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</si>
  <si>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</si>
  <si>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</si>
  <si>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</si>
  <si>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</si>
  <si>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</si>
  <si>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</si>
  <si>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</si>
  <si>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</si>
  <si>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</si>
  <si>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</si>
  <si>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</si>
  <si>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</si>
  <si>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</si>
  <si>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</si>
  <si>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</si>
  <si>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</si>
  <si>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</si>
  <si>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</si>
  <si>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</si>
  <si>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</si>
  <si>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</si>
  <si>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</si>
  <si>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</si>
  <si>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</si>
  <si>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</si>
  <si>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</si>
  <si>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</si>
  <si>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</si>
  <si>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</si>
  <si>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</si>
  <si>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</si>
  <si>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</si>
  <si>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</si>
  <si>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</si>
  <si>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</si>
  <si>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</si>
  <si>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</si>
  <si>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</si>
  <si>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</si>
  <si>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</si>
  <si>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</si>
  <si>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</si>
  <si>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</si>
  <si>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</si>
  <si>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</si>
  <si>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</si>
  <si>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</si>
  <si>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</si>
  <si>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</si>
  <si>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</si>
  <si>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</si>
  <si>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</si>
  <si>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</si>
  <si>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</si>
  <si>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</si>
  <si>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</si>
  <si>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</si>
  <si>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</si>
  <si>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</si>
  <si>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</si>
  <si>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</si>
  <si>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</si>
  <si>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</si>
  <si>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</si>
  <si>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</si>
  <si>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</si>
  <si>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</si>
  <si>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</si>
  <si>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</si>
  <si>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</si>
  <si>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</si>
  <si>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</si>
  <si>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</si>
  <si>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</si>
  <si>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</si>
  <si>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</si>
  <si>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</si>
  <si>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</si>
  <si>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</si>
  <si>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</si>
  <si>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</si>
  <si>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</si>
  <si>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</si>
  <si>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</si>
  <si>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</si>
  <si>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</si>
  <si>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</si>
  <si>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</si>
  <si>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</si>
  <si>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</si>
  <si>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</si>
  <si>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</si>
  <si>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</si>
  <si>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</si>
  <si>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</si>
  <si>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</si>
  <si>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</si>
  <si>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</si>
  <si>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</si>
  <si>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</si>
  <si>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</si>
  <si>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</si>
  <si>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</si>
  <si>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</si>
  <si>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</si>
  <si>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</si>
  <si>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</si>
  <si>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</si>
  <si>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</si>
  <si>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</si>
  <si>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</si>
  <si>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</si>
  <si>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</si>
  <si>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</si>
  <si>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</si>
  <si>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</si>
  <si>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</si>
  <si>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</si>
  <si>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</si>
  <si>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</si>
  <si>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</si>
  <si>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</si>
  <si>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</si>
  <si>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</si>
  <si>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</si>
  <si>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</si>
  <si>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</si>
  <si>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</si>
  <si>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</si>
  <si>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</si>
  <si>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</si>
  <si>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</si>
  <si>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</si>
  <si>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</si>
  <si>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</si>
  <si>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</si>
  <si>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</si>
  <si>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</si>
  <si>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</si>
  <si>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</si>
  <si>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</si>
  <si>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</si>
  <si>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</si>
  <si>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</si>
  <si>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</si>
  <si>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</si>
  <si>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</si>
  <si>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</si>
  <si>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</si>
  <si>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</si>
  <si>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</si>
  <si>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</si>
  <si>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</si>
  <si>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</si>
  <si>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</si>
  <si>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</si>
  <si>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</si>
  <si>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</si>
  <si>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</si>
  <si>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</si>
  <si>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</si>
  <si>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</si>
  <si>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</si>
  <si>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</si>
  <si>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</si>
  <si>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</si>
  <si>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</si>
  <si>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</si>
  <si>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</si>
  <si>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</si>
  <si>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</si>
  <si>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</si>
  <si>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</si>
  <si>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</si>
  <si>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</si>
  <si>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</si>
  <si>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</si>
  <si>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</si>
  <si>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</si>
  <si>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</si>
  <si>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</si>
  <si>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</si>
  <si>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</si>
  <si>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</si>
  <si>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</si>
  <si>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</si>
  <si>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</si>
  <si>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</si>
  <si>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</si>
  <si>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</si>
  <si>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</si>
  <si>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</si>
  <si>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</si>
  <si>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</si>
  <si>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</si>
  <si>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</si>
  <si>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</si>
  <si>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</si>
  <si>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</si>
  <si>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</si>
  <si>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</si>
  <si>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</si>
  <si>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</si>
  <si>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</si>
  <si>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</si>
  <si>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</si>
  <si>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</si>
  <si>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</si>
  <si>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</si>
  <si>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</si>
  <si>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</si>
  <si>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</si>
  <si>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</si>
  <si>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</si>
  <si>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</si>
  <si>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</si>
  <si>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</si>
  <si>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</si>
  <si>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</si>
  <si>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</si>
  <si>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</si>
  <si>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</si>
  <si>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</si>
  <si>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</si>
  <si>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</si>
  <si>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</si>
  <si>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</si>
  <si>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</si>
  <si>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</si>
  <si>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</si>
  <si>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</si>
  <si>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</si>
  <si>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</si>
  <si>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</si>
  <si>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</si>
  <si>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</si>
  <si>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</si>
  <si>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</si>
  <si>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</si>
  <si>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</si>
  <si>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</si>
  <si>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</si>
  <si>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</si>
  <si>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</si>
  <si>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</si>
  <si>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</si>
  <si>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</si>
  <si>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</si>
  <si>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</si>
  <si>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</si>
  <si>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</si>
  <si>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</si>
  <si>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</si>
  <si>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</si>
  <si>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</si>
  <si>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</si>
  <si>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</si>
  <si>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</si>
  <si>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</si>
  <si>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</si>
  <si>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</si>
  <si>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</si>
  <si>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</si>
  <si>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</si>
  <si>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</si>
  <si>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</si>
  <si>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</si>
  <si>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</si>
  <si>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</si>
  <si>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</si>
  <si>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</si>
  <si>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</si>
  <si>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</si>
  <si>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</si>
  <si>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</si>
  <si>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</si>
  <si>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</si>
  <si>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</si>
  <si>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</si>
  <si>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</si>
  <si>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</si>
  <si>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</si>
  <si>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</si>
  <si>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</si>
  <si>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</si>
  <si>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</si>
  <si>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</si>
  <si>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</si>
  <si>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</si>
  <si>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</si>
  <si>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</si>
  <si>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</si>
  <si>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</si>
  <si>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</si>
  <si>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</si>
  <si>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</si>
  <si>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</si>
  <si>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</si>
  <si>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</si>
  <si>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</si>
  <si>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</si>
  <si>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</si>
  <si>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</si>
  <si>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</si>
  <si>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</si>
  <si>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</si>
  <si>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</si>
  <si>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</si>
  <si>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</si>
  <si>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</si>
  <si>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</si>
  <si>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</si>
  <si>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</si>
  <si>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</si>
  <si>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</si>
  <si>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</si>
  <si>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</si>
  <si>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</si>
  <si>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</si>
  <si>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</si>
  <si>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</si>
  <si>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</si>
  <si>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</si>
  <si>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</si>
  <si>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</si>
  <si>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</si>
  <si>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</si>
  <si>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</si>
  <si>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</si>
  <si>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</si>
  <si>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</si>
  <si>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</si>
  <si>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</si>
  <si>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</si>
  <si>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</si>
  <si>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</si>
  <si>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</si>
  <si>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</si>
  <si>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</si>
  <si>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</si>
  <si>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</si>
  <si>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</si>
  <si>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</si>
  <si>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</si>
  <si>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</si>
  <si>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</si>
  <si>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</si>
  <si>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</si>
  <si>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</si>
  <si>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</si>
  <si>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</si>
  <si>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</si>
  <si>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</si>
  <si>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</si>
  <si>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</si>
  <si>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</si>
  <si>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</si>
  <si>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</si>
  <si>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</si>
  <si>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</si>
  <si>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</si>
  <si>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</si>
  <si>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</si>
  <si>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</si>
  <si>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</si>
  <si>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</si>
  <si>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</si>
  <si>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</si>
  <si>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</si>
  <si>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</si>
  <si>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</si>
  <si>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</si>
  <si>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</si>
  <si>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</si>
  <si>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</si>
  <si>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</si>
  <si>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</si>
  <si>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</si>
  <si>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</si>
  <si>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</si>
  <si>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</si>
  <si>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</si>
  <si>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</si>
  <si>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</si>
  <si>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</si>
  <si>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</si>
  <si>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</si>
  <si>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</si>
  <si>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</si>
  <si>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</si>
  <si>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</si>
  <si>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</si>
  <si>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</si>
  <si>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</si>
  <si>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</si>
  <si>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</si>
  <si>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</si>
  <si>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</si>
  <si>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</si>
  <si>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</si>
  <si>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</si>
  <si>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</si>
  <si>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</si>
  <si>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</si>
  <si>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</si>
  <si>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</si>
  <si>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</si>
  <si>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</si>
  <si>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</si>
  <si>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</si>
  <si>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</si>
  <si>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</si>
  <si>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</si>
  <si>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</si>
  <si>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</si>
  <si>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</si>
  <si>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</si>
  <si>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</si>
  <si>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</si>
  <si>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</si>
  <si>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</si>
  <si>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</si>
  <si>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</si>
  <si>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</si>
  <si>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</si>
  <si>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</si>
  <si>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</si>
  <si>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</si>
  <si>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</si>
  <si>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</si>
  <si>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</si>
  <si>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</si>
  <si>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</si>
  <si>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</si>
  <si>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</si>
  <si>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</si>
  <si>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</si>
  <si>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</si>
  <si>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</si>
  <si>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</si>
  <si>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</si>
  <si>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</si>
  <si>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</si>
  <si>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</si>
  <si>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</si>
  <si>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</si>
  <si>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</si>
  <si>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</si>
  <si>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</si>
  <si>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</si>
  <si>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</si>
  <si>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</si>
  <si>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</si>
  <si>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</si>
  <si>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</si>
  <si>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</si>
  <si>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</si>
  <si>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</si>
  <si>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</si>
  <si>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</si>
  <si>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</si>
  <si>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</si>
  <si>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</si>
  <si>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</si>
  <si>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</si>
  <si>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</si>
  <si>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</si>
  <si>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</si>
  <si>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</si>
  <si>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</si>
  <si>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</si>
  <si>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</si>
  <si>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</si>
  <si>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</si>
  <si>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</si>
  <si>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</si>
  <si>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</si>
  <si>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</si>
  <si>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</si>
  <si>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</si>
  <si>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</si>
  <si>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</si>
  <si>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</si>
  <si>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</si>
  <si>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</si>
  <si>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</si>
  <si>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</si>
  <si>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</si>
  <si>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</si>
  <si>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</si>
  <si>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</si>
  <si>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</si>
  <si>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</si>
  <si>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</si>
  <si>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</si>
  <si>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</si>
  <si>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</si>
  <si>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</si>
  <si>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</si>
  <si>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</si>
  <si>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</si>
  <si>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</si>
  <si>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</si>
  <si>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</si>
  <si>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</si>
  <si>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</si>
  <si>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</si>
  <si>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</si>
  <si>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</si>
  <si>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</si>
  <si>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</si>
  <si>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</si>
  <si>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</si>
  <si>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</si>
  <si>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</si>
  <si>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</si>
  <si>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</si>
  <si>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</si>
  <si>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</si>
  <si>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</si>
  <si>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</si>
  <si>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</si>
  <si>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</si>
  <si>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</si>
  <si>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</si>
  <si>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</si>
  <si>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</si>
  <si>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</si>
  <si>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</si>
  <si>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</si>
  <si>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</si>
  <si>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</si>
  <si>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</si>
  <si>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</si>
  <si>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</si>
  <si>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</si>
  <si>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</si>
  <si>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</si>
  <si>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</si>
  <si>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</si>
  <si>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</si>
  <si>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</si>
  <si>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</si>
  <si>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</si>
  <si>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</si>
  <si>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</si>
  <si>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</si>
  <si>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</si>
  <si>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</si>
  <si>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</si>
  <si>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</si>
  <si>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</si>
  <si>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</si>
  <si>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</si>
  <si>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</si>
  <si>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</si>
  <si>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</si>
  <si>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</si>
  <si>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</si>
  <si>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</si>
  <si>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</si>
  <si>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</si>
  <si>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</si>
  <si>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</si>
  <si>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</si>
  <si>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</si>
  <si>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</si>
  <si>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</si>
  <si>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</si>
  <si>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</si>
  <si>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</si>
  <si>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</si>
  <si>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</si>
  <si>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</si>
  <si>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</si>
  <si>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</si>
  <si>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</si>
  <si>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</si>
  <si>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</si>
  <si>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</si>
  <si>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</si>
  <si>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</si>
  <si>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</si>
  <si>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</si>
  <si>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</si>
  <si>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</si>
  <si>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</si>
  <si>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</si>
  <si>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</si>
  <si>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</si>
  <si>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</si>
  <si>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</si>
  <si>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</si>
  <si>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</si>
  <si>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</si>
  <si>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</si>
  <si>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</si>
  <si>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</si>
  <si>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</si>
  <si>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</si>
  <si>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</si>
  <si>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</si>
  <si>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</si>
  <si>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</si>
  <si>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</si>
  <si>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</si>
  <si>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</si>
  <si>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</si>
  <si>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</si>
  <si>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</si>
  <si>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</si>
  <si>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</si>
  <si>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</si>
  <si>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</si>
  <si>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</si>
  <si>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</si>
  <si>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</si>
  <si>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</si>
  <si>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</si>
  <si>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</si>
  <si>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</si>
  <si>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</si>
  <si>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</si>
  <si>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</si>
  <si>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</si>
  <si>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</si>
  <si>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</si>
  <si>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</si>
  <si>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</si>
  <si>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</si>
  <si>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</si>
  <si>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</si>
  <si>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</si>
  <si>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</si>
  <si>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</si>
  <si>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</si>
  <si>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</si>
  <si>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</si>
  <si>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</si>
  <si>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</si>
  <si>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</si>
  <si>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</si>
  <si>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</si>
  <si>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</si>
  <si>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</si>
  <si>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</si>
  <si>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</si>
  <si>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</si>
  <si>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</si>
  <si>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</si>
  <si>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</si>
  <si>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</si>
  <si>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</si>
  <si>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</si>
  <si>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</si>
  <si>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</si>
  <si>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</si>
  <si>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</si>
  <si>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</si>
  <si>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</si>
  <si>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</si>
  <si>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</si>
  <si>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</si>
  <si>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</si>
  <si>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</si>
  <si>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</si>
  <si>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</si>
  <si>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</si>
  <si>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</si>
  <si>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</si>
  <si>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</si>
  <si>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</si>
  <si>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</si>
  <si>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</si>
  <si>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</si>
  <si>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</si>
  <si>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</si>
  <si>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</si>
  <si>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</si>
  <si>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</si>
  <si>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</si>
  <si>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</si>
  <si>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</si>
  <si>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</si>
  <si>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</si>
  <si>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</si>
  <si>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</si>
  <si>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</si>
  <si>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</si>
  <si>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</si>
  <si>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</si>
  <si>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</si>
  <si>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</si>
  <si>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</si>
  <si>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</si>
  <si>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</si>
  <si>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</si>
  <si>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</si>
  <si>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</si>
  <si>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</si>
  <si>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</si>
  <si>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</si>
  <si>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</si>
  <si>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</si>
  <si>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</si>
  <si>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</si>
  <si>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</si>
  <si>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</si>
  <si>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</si>
  <si>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</si>
  <si>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</si>
  <si>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</si>
  <si>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</si>
  <si>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</si>
  <si>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</si>
  <si>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</si>
  <si>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</si>
  <si>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</si>
  <si>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</si>
  <si>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</si>
  <si>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</si>
  <si>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</si>
  <si>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</si>
  <si>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</si>
  <si>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</si>
  <si>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</si>
  <si>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</si>
  <si>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</si>
  <si>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</si>
  <si>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</si>
  <si>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</si>
  <si>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</si>
  <si>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</si>
  <si>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</si>
  <si>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</si>
  <si>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</si>
  <si>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</si>
  <si>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</si>
  <si>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</si>
  <si>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</si>
  <si>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</si>
  <si>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</si>
  <si>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</si>
  <si>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</si>
  <si>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</si>
  <si>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</si>
  <si>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</si>
  <si>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</si>
  <si>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</si>
  <si>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</si>
  <si>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</si>
  <si>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</si>
  <si>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</si>
  <si>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</si>
  <si>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</si>
  <si>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</si>
  <si>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</si>
  <si>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</si>
  <si>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</si>
  <si>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</si>
  <si>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</si>
  <si>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</si>
  <si>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</si>
  <si>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</si>
  <si>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</si>
  <si>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</si>
  <si>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</si>
  <si>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</si>
  <si>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</si>
  <si>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</si>
  <si>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</si>
  <si>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</si>
  <si>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</si>
  <si>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</si>
  <si>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</si>
  <si>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</si>
  <si>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</si>
  <si>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</si>
  <si>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</si>
  <si>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</si>
  <si>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</si>
  <si>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</si>
  <si>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</si>
  <si>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</si>
  <si>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</si>
  <si>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</si>
  <si>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</si>
  <si>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</si>
  <si>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</si>
  <si>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</si>
  <si>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</si>
  <si>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</si>
  <si>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</si>
  <si>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</si>
  <si>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</si>
  <si>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</si>
  <si>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</si>
  <si>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</si>
  <si>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</si>
  <si>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</si>
  <si>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</si>
  <si>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</si>
  <si>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</si>
  <si>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</si>
  <si>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</si>
  <si>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</si>
  <si>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</si>
  <si>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</si>
  <si>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</si>
  <si>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</si>
  <si>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</si>
  <si>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</si>
  <si>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</si>
  <si>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</si>
  <si>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</si>
  <si>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</si>
  <si>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</si>
  <si>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</si>
  <si>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</si>
  <si>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</si>
  <si>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</si>
  <si>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</si>
  <si>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</si>
  <si>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</si>
  <si>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</si>
  <si>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</si>
  <si>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</si>
  <si>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</si>
  <si>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</si>
  <si>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</si>
  <si>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</si>
  <si>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</si>
  <si>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</si>
  <si>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</si>
  <si>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</si>
  <si>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</si>
  <si>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</si>
  <si>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</si>
  <si>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</si>
  <si>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</si>
  <si>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</si>
  <si>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</si>
  <si>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</si>
  <si>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</si>
  <si>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</si>
  <si>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</si>
  <si>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</si>
  <si>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</si>
  <si>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</si>
  <si>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</si>
  <si>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</si>
  <si>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</si>
  <si>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</si>
  <si>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</si>
  <si>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</si>
  <si>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</si>
  <si>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</si>
  <si>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</si>
  <si>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</si>
  <si>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</si>
  <si>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</si>
  <si>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</si>
  <si>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</si>
  <si>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</si>
  <si>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</si>
  <si>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</si>
  <si>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</si>
  <si>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</si>
  <si>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</si>
  <si>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</si>
  <si>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</si>
  <si>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</si>
  <si>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</si>
  <si>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</si>
  <si>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</si>
  <si>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</si>
  <si>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</si>
  <si>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</si>
  <si>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</si>
  <si>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</si>
  <si>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</si>
  <si>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</si>
  <si>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</si>
  <si>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</si>
  <si>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</si>
  <si>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</si>
  <si>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</si>
  <si>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</si>
  <si>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</si>
  <si>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</si>
  <si>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</si>
  <si>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</si>
  <si>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</si>
  <si>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</si>
  <si>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</si>
  <si>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</si>
  <si>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</si>
  <si>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</si>
  <si>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</si>
  <si>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</si>
  <si>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</si>
  <si>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</si>
  <si>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</si>
  <si>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</si>
  <si>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</si>
  <si>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</si>
  <si>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</si>
  <si>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</si>
  <si>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</si>
  <si>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</si>
  <si>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</si>
  <si>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</si>
  <si>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</si>
  <si>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</si>
  <si>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</si>
  <si>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</si>
  <si>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</si>
  <si>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</si>
  <si>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</si>
  <si>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</si>
  <si>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</si>
  <si>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</si>
  <si>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</si>
  <si>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</si>
  <si>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</si>
  <si>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</si>
  <si>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</si>
  <si>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</si>
  <si>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</si>
  <si>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</si>
  <si>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</si>
  <si>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</si>
  <si>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</si>
  <si>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</si>
  <si>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</si>
  <si>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</si>
  <si>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</si>
  <si>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</si>
  <si>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</si>
  <si>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</si>
  <si>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</si>
  <si>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</si>
  <si>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</si>
  <si>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</si>
  <si>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</si>
  <si>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</si>
  <si>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</si>
  <si>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</si>
  <si>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</si>
  <si>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</si>
  <si>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</si>
  <si>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</si>
  <si>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</si>
  <si>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</si>
  <si>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</si>
  <si>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</si>
  <si>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</si>
  <si>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</si>
  <si>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</si>
  <si>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</si>
  <si>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</si>
  <si>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</si>
  <si>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</si>
  <si>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</si>
  <si>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</si>
  <si>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</si>
  <si>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</si>
  <si>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</si>
  <si>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</si>
  <si>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</si>
  <si>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</si>
  <si>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</si>
  <si>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</si>
  <si>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</si>
  <si>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</si>
  <si>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</si>
  <si>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</si>
  <si>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</si>
  <si>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</si>
  <si>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</si>
  <si>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</si>
  <si>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</si>
  <si>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</si>
  <si>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</si>
  <si>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</si>
  <si>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</si>
  <si>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</si>
  <si>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</si>
  <si>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</si>
  <si>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</si>
  <si>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</si>
  <si>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</si>
  <si>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</si>
  <si>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</si>
  <si>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</si>
  <si>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</si>
  <si>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</si>
  <si>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</si>
  <si>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</si>
  <si>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</si>
  <si>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</si>
  <si>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</si>
  <si>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</si>
  <si>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</si>
  <si>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</si>
  <si>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</si>
  <si>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</si>
  <si>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</si>
  <si>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</si>
  <si>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</si>
  <si>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</si>
  <si>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</si>
  <si>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</si>
  <si>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</si>
  <si>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</si>
  <si>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</si>
  <si>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</si>
  <si>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</si>
  <si>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</si>
  <si>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</si>
  <si>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</si>
  <si>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</si>
  <si>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</si>
  <si>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</si>
  <si>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</si>
  <si>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</si>
  <si>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</si>
  <si>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</si>
  <si>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</si>
  <si>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</si>
  <si>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</si>
  <si>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</si>
  <si>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</si>
  <si>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</si>
  <si>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</si>
  <si>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</si>
  <si>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</si>
  <si>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</si>
  <si>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</si>
  <si>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</si>
  <si>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</si>
  <si>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</si>
  <si>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</si>
  <si>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</si>
  <si>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</si>
  <si>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</si>
  <si>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</si>
  <si>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</si>
  <si>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</si>
  <si>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</si>
  <si>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</si>
  <si>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</si>
  <si>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</si>
  <si>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</si>
  <si>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</si>
  <si>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</si>
  <si>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</si>
  <si>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</si>
  <si>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</si>
  <si>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</si>
  <si>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</si>
  <si>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</si>
  <si>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</si>
  <si>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</si>
  <si>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</si>
  <si>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</si>
  <si>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</si>
  <si>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</si>
  <si>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</si>
  <si>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</si>
  <si>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</si>
  <si>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</si>
  <si>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</si>
  <si>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</si>
  <si>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</si>
  <si>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</si>
  <si>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</si>
  <si>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</si>
  <si>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</si>
  <si>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</si>
  <si>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</si>
  <si>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</si>
  <si>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</si>
  <si>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</si>
  <si>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</si>
  <si>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</si>
  <si>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</si>
  <si>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</si>
  <si>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</si>
  <si>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</si>
  <si>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</si>
  <si>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</si>
  <si>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</si>
  <si>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</si>
  <si>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</si>
  <si>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</si>
  <si>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</si>
  <si>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</si>
  <si>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</si>
  <si>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</si>
  <si>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</si>
  <si>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</si>
  <si>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</si>
  <si>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</si>
  <si>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</si>
  <si>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</si>
  <si>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</si>
  <si>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</si>
  <si>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</si>
  <si>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</si>
  <si>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</si>
  <si>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</si>
  <si>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</si>
  <si>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</si>
  <si>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</si>
  <si>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</si>
  <si>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</si>
  <si>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</si>
  <si>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</si>
  <si>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</si>
  <si>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</si>
  <si>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</si>
  <si>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</si>
  <si>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</si>
  <si>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</si>
  <si>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</si>
  <si>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</si>
  <si>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</si>
  <si>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</si>
  <si>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</si>
  <si>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</si>
  <si>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</si>
  <si>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</si>
  <si>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</si>
  <si>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</si>
  <si>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</si>
  <si>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</si>
  <si>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</si>
  <si>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</si>
  <si>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</si>
  <si>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</si>
  <si>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</si>
  <si>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</si>
  <si>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</si>
  <si>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</si>
  <si>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</si>
  <si>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</si>
  <si>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</si>
  <si>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</si>
  <si>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</si>
  <si>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</si>
  <si>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</si>
  <si>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</si>
  <si>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</si>
  <si>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</si>
  <si>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</si>
  <si>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</si>
  <si>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</si>
  <si>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</si>
  <si>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</si>
  <si>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</si>
  <si>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</si>
  <si>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</si>
  <si>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</si>
  <si>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</si>
  <si>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</si>
  <si>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</si>
  <si>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</si>
  <si>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</si>
  <si>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</si>
  <si>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</si>
  <si>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</si>
  <si>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</si>
  <si>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</si>
  <si>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</si>
  <si>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</si>
  <si>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</si>
  <si>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</si>
  <si>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</si>
  <si>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</si>
  <si>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</si>
  <si>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</si>
  <si>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</si>
  <si>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</si>
  <si>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</si>
  <si>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</si>
  <si>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</si>
  <si>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</si>
  <si>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</si>
  <si>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</si>
  <si>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</si>
  <si>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</si>
  <si>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</si>
  <si>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</si>
  <si>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</si>
  <si>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</si>
  <si>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</si>
  <si>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</si>
  <si>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</si>
  <si>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</si>
  <si>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</si>
  <si>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</si>
  <si>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</si>
  <si>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</si>
  <si>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</si>
  <si>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</si>
  <si>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</si>
  <si>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</si>
  <si>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</si>
  <si>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</si>
  <si>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</si>
  <si>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</si>
  <si>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</si>
  <si>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</si>
  <si>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</si>
  <si>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</si>
  <si>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</si>
  <si>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</si>
  <si>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</si>
  <si>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</si>
  <si>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</si>
  <si>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</si>
  <si>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</si>
  <si>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</si>
  <si>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</si>
  <si>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</si>
  <si>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</si>
  <si>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</si>
  <si>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</si>
  <si>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</si>
  <si>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</si>
  <si>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</si>
  <si>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</si>
  <si>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</si>
  <si>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</si>
  <si>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</si>
  <si>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</si>
  <si>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</si>
  <si>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</si>
  <si>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</si>
  <si>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</si>
  <si>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</si>
  <si>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</si>
  <si>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</si>
  <si>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</si>
  <si>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</si>
  <si>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</si>
  <si>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</si>
  <si>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</si>
  <si>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</si>
  <si>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</si>
  <si>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</si>
  <si>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</si>
  <si>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</si>
  <si>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</si>
  <si>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</si>
  <si>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</si>
  <si>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</si>
  <si>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</si>
  <si>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</si>
  <si>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</si>
  <si>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</si>
  <si>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</si>
  <si>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</si>
  <si>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</si>
  <si>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</si>
  <si>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</si>
  <si>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</si>
  <si>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</si>
  <si>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</si>
  <si>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</si>
  <si>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</si>
  <si>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</si>
  <si>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</si>
  <si>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</si>
  <si>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</si>
  <si>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</si>
  <si>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</si>
  <si>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</si>
  <si>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</si>
  <si>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</si>
  <si>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</si>
  <si>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</si>
  <si>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</si>
  <si>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</si>
  <si>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</si>
  <si>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</si>
  <si>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</si>
  <si>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</si>
  <si>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</si>
  <si>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</si>
  <si>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</si>
  <si>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</si>
  <si>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</si>
  <si>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</si>
  <si>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</si>
  <si>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</si>
  <si>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</si>
  <si>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</si>
  <si>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</si>
  <si>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</si>
  <si>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</si>
  <si>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</si>
  <si>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</si>
  <si>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</si>
  <si>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</si>
  <si>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</si>
  <si>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</si>
  <si>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</si>
  <si>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</si>
  <si>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</si>
  <si>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</si>
  <si>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</si>
  <si>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</si>
  <si>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</si>
  <si>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</si>
  <si>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</si>
  <si>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</si>
  <si>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</si>
  <si>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</si>
  <si>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</si>
  <si>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</si>
  <si>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</si>
  <si>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</si>
  <si>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</si>
  <si>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</si>
  <si>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</si>
  <si>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</si>
  <si>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</si>
  <si>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</si>
  <si>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</si>
  <si>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</si>
  <si>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</si>
  <si>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</si>
  <si>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</si>
  <si>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</si>
  <si>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</si>
  <si>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</si>
  <si>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</si>
  <si>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</si>
  <si>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</si>
  <si>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</si>
  <si>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</si>
  <si>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</si>
  <si>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</si>
  <si>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</si>
  <si>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</si>
  <si>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</si>
  <si>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</si>
  <si>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</si>
  <si>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</si>
  <si>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</si>
  <si>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</si>
  <si>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</si>
  <si>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</si>
  <si>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</si>
  <si>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</si>
  <si>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</si>
  <si>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</si>
  <si>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</si>
  <si>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</si>
  <si>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</si>
  <si>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</si>
  <si>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</si>
  <si>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</si>
  <si>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</si>
  <si>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</si>
  <si>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</si>
  <si>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</si>
  <si>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</si>
  <si>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</si>
  <si>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</si>
  <si>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</si>
  <si>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</si>
  <si>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</si>
  <si>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</si>
  <si>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</si>
  <si>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</si>
  <si>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</si>
  <si>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</si>
  <si>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</si>
  <si>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</si>
  <si>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</si>
  <si>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</si>
  <si>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</si>
  <si>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</si>
  <si>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</si>
  <si>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</si>
  <si>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</si>
  <si>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</si>
  <si>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</si>
  <si>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</si>
  <si>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</si>
  <si>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</si>
  <si>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</si>
  <si>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</si>
  <si>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</si>
  <si>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</si>
  <si>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</si>
  <si>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</si>
  <si>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</si>
  <si>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</si>
  <si>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</si>
  <si>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</si>
  <si>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</si>
  <si>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</si>
  <si>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</si>
  <si>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</si>
  <si>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</si>
  <si>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</si>
  <si>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</si>
  <si>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</si>
  <si>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</si>
  <si>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</si>
  <si>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</si>
  <si>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</si>
  <si>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</si>
  <si>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</si>
  <si>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</si>
  <si>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</si>
  <si>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</si>
  <si>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</si>
  <si>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</si>
  <si>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</si>
  <si>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</si>
  <si>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</si>
  <si>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</si>
  <si>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</si>
  <si>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</si>
  <si>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</si>
  <si>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</si>
  <si>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</si>
  <si>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</si>
  <si>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</si>
  <si>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</si>
  <si>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</si>
  <si>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</si>
  <si>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</si>
  <si>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</si>
  <si>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</si>
  <si>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</si>
  <si>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</si>
  <si>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</si>
  <si>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</si>
  <si>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</si>
  <si>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</si>
  <si>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</si>
  <si>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</si>
  <si>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</si>
  <si>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</si>
  <si>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</si>
  <si>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</si>
  <si>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</si>
  <si>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</si>
  <si>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</si>
  <si>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</si>
  <si>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</si>
  <si>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</si>
  <si>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</si>
  <si>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</si>
  <si>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</si>
  <si>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</si>
  <si>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</si>
  <si>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</si>
  <si>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</si>
  <si>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</si>
  <si>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</si>
  <si>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</si>
  <si>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</si>
  <si>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</si>
  <si>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</si>
  <si>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</si>
  <si>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</si>
  <si>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</si>
  <si>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</si>
  <si>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</si>
  <si>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</si>
  <si>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</si>
  <si>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</si>
  <si>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</si>
  <si>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</si>
  <si>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</si>
  <si>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</si>
  <si>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</si>
  <si>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</si>
  <si>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</si>
  <si>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</si>
  <si>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</si>
  <si>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</si>
  <si>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</si>
  <si>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</si>
  <si>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</si>
  <si>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</si>
  <si>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</si>
  <si>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</si>
  <si>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</si>
  <si>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</si>
  <si>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</si>
  <si>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</si>
  <si>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</si>
  <si>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</si>
  <si>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</si>
  <si>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</si>
  <si>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</si>
  <si>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</si>
  <si>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</si>
  <si>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</si>
  <si>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</si>
  <si>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</si>
  <si>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</si>
  <si>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</si>
  <si>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</si>
  <si>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</si>
  <si>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</si>
  <si>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</si>
  <si>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</si>
  <si>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</si>
  <si>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</si>
  <si>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</si>
  <si>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</si>
  <si>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</si>
  <si>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</si>
  <si>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</si>
  <si>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</si>
  <si>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</si>
  <si>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</si>
  <si>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</si>
  <si>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</si>
  <si>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</si>
  <si>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</si>
  <si>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</si>
  <si>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</si>
  <si>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</si>
  <si>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</si>
  <si>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</si>
  <si>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</si>
  <si>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</si>
  <si>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</si>
  <si>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</si>
  <si>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</si>
  <si>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</si>
  <si>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</si>
  <si>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</si>
  <si>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</si>
  <si>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</si>
  <si>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</si>
  <si>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</si>
  <si>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</si>
  <si>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</si>
  <si>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</si>
  <si>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</si>
  <si>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</si>
  <si>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</si>
  <si>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</si>
  <si>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</si>
  <si>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</si>
  <si>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</si>
  <si>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</si>
  <si>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</si>
  <si>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</si>
  <si>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</si>
  <si>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</si>
  <si>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</si>
  <si>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</si>
  <si>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</si>
  <si>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</si>
  <si>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</si>
  <si>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</si>
  <si>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</si>
  <si>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</si>
  <si>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</si>
  <si>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</si>
  <si>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</si>
  <si>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</si>
  <si>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</si>
  <si>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</si>
  <si>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</si>
  <si>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</si>
  <si>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</si>
  <si>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</si>
  <si>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</si>
  <si>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</si>
  <si>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</si>
  <si>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</si>
  <si>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</si>
  <si>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</si>
  <si>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</si>
  <si>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</si>
  <si>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</si>
  <si>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</si>
  <si>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</si>
  <si>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</si>
  <si>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</si>
  <si>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</si>
  <si>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</si>
  <si>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</si>
  <si>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</si>
  <si>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</si>
  <si>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</si>
  <si>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</si>
  <si>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</si>
  <si>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</si>
  <si>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</si>
  <si>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</si>
  <si>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</si>
  <si>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</si>
  <si>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</si>
  <si>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</si>
  <si>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</si>
  <si>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</si>
  <si>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</si>
  <si>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</si>
  <si>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</si>
  <si>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</si>
  <si>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</si>
  <si>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</si>
  <si>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</si>
  <si>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</si>
  <si>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</si>
  <si>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</si>
  <si>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</si>
  <si>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</si>
  <si>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</si>
  <si>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</si>
  <si>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</si>
  <si>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</si>
  <si>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</si>
  <si>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</si>
  <si>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</si>
  <si>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</si>
  <si>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</si>
  <si>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</si>
  <si>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</si>
  <si>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</si>
  <si>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</si>
  <si>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</si>
  <si>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</si>
  <si>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</si>
  <si>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</si>
  <si>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</si>
  <si>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</si>
  <si>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</si>
  <si>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</si>
  <si>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</si>
  <si>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</si>
  <si>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</si>
  <si>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</si>
  <si>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</si>
  <si>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</si>
  <si>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</si>
  <si>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</si>
  <si>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</si>
  <si>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</si>
  <si>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</si>
  <si>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</si>
  <si>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</si>
  <si>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</si>
  <si>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</si>
  <si>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</si>
  <si>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</si>
  <si>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</si>
  <si>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</si>
  <si>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</si>
  <si>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</si>
  <si>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</si>
  <si>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</si>
  <si>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</si>
  <si>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</si>
  <si>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</si>
  <si>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</si>
  <si>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</si>
  <si>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</si>
  <si>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</si>
  <si>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</si>
  <si>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</si>
  <si>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</si>
  <si>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</si>
  <si>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</si>
  <si>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</si>
  <si>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</si>
  <si>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</si>
  <si>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</si>
  <si>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</si>
  <si>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</si>
  <si>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</si>
  <si>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</si>
  <si>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</si>
  <si>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</si>
  <si>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</si>
  <si>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</si>
  <si>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</si>
  <si>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</si>
  <si>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</si>
  <si>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</si>
  <si>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</si>
  <si>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</si>
  <si>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</si>
  <si>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</si>
  <si>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</si>
  <si>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</si>
  <si>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</si>
  <si>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</si>
  <si>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</si>
  <si>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</si>
  <si>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</si>
  <si>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</si>
  <si>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</si>
  <si>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</si>
  <si>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</si>
  <si>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</si>
  <si>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</si>
  <si>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</si>
  <si>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</si>
  <si>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</si>
  <si>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</si>
  <si>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</si>
  <si>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</si>
  <si>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</si>
  <si>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</si>
  <si>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</si>
  <si>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</si>
  <si>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</si>
  <si>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</si>
  <si>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</si>
  <si>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</si>
  <si>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</si>
  <si>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</si>
  <si>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</si>
  <si>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</si>
  <si>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</si>
  <si>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</si>
  <si>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</si>
  <si>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</si>
  <si>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</si>
  <si>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</si>
  <si>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</si>
  <si>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</si>
  <si>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</si>
  <si>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</si>
  <si>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</si>
  <si>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</si>
  <si>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</si>
  <si>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</si>
  <si>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</si>
  <si>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</si>
  <si>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</si>
  <si>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</si>
  <si>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</si>
  <si>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</si>
  <si>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</si>
  <si>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</si>
  <si>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</si>
  <si>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</si>
  <si>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</si>
  <si>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</si>
  <si>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</si>
  <si>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</si>
  <si>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</si>
  <si>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</si>
  <si>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</si>
  <si>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</si>
  <si>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</si>
  <si>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</si>
  <si>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</si>
  <si>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</si>
  <si>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</si>
  <si>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</si>
  <si>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</si>
  <si>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</si>
  <si>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</si>
  <si>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</si>
  <si>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</si>
  <si>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</si>
  <si>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</si>
  <si>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</si>
  <si>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</si>
  <si>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</si>
  <si>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</si>
  <si>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</si>
  <si>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</si>
  <si>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</si>
  <si>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</si>
  <si>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</si>
  <si>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</si>
  <si>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</si>
  <si>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</si>
  <si>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</si>
  <si>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</si>
  <si>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</si>
  <si>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</si>
  <si>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</si>
  <si>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</si>
  <si>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</si>
  <si>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</si>
  <si>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</si>
  <si>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</si>
  <si>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</si>
  <si>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</si>
  <si>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</si>
  <si>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</si>
  <si>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</si>
  <si>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</si>
  <si>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</si>
  <si>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</si>
  <si>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</si>
  <si>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</si>
  <si>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</si>
  <si>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</si>
  <si>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</si>
  <si>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</si>
  <si>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</si>
  <si>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</si>
  <si>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</si>
  <si>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</si>
  <si>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</si>
  <si>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</si>
  <si>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</si>
  <si>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</si>
  <si>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</si>
  <si>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</si>
  <si>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</si>
  <si>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</si>
  <si>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</si>
  <si>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</si>
  <si>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</si>
  <si>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</si>
  <si>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</si>
  <si>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</si>
  <si>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</si>
  <si>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</si>
  <si>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</si>
  <si>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</si>
  <si>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</si>
  <si>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</si>
  <si>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</si>
  <si>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</si>
  <si>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</si>
  <si>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</si>
  <si>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</si>
  <si>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</si>
  <si>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</si>
  <si>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</si>
  <si>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</si>
  <si>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</si>
  <si>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</si>
  <si>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</si>
  <si>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</si>
  <si>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</si>
  <si>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</si>
  <si>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</si>
  <si>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</si>
  <si>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</si>
  <si>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</si>
  <si>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</si>
  <si>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</si>
  <si>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</si>
  <si>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</si>
  <si>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</si>
  <si>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</si>
  <si>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</si>
  <si>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</si>
  <si>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</si>
  <si>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</si>
  <si>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</si>
  <si>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</si>
  <si>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</si>
  <si>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</si>
  <si>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</si>
  <si>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</si>
  <si>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</si>
  <si>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</si>
  <si>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</si>
  <si>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</si>
  <si>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</si>
  <si>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</si>
  <si>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</si>
  <si>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</si>
  <si>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</si>
  <si>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</si>
  <si>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</si>
  <si>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</si>
  <si>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</si>
  <si>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</si>
  <si>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</si>
  <si>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</si>
  <si>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</si>
  <si>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</si>
  <si>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</si>
  <si>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</si>
  <si>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</si>
  <si>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</si>
  <si>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</si>
  <si>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</si>
  <si>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</si>
  <si>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</si>
  <si>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</si>
  <si>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</si>
  <si>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</si>
  <si>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</si>
  <si>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</si>
  <si>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</si>
  <si>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</si>
  <si>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</si>
  <si>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</si>
  <si>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</si>
  <si>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</si>
  <si>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</si>
  <si>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</si>
  <si>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</si>
  <si>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</si>
  <si>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</si>
  <si>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</si>
  <si>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</si>
  <si>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</si>
  <si>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</si>
  <si>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</si>
  <si>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</si>
  <si>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</si>
  <si>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</si>
  <si>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</si>
  <si>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</si>
  <si>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</si>
  <si>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</si>
  <si>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</si>
  <si>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</si>
  <si>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</si>
  <si>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</si>
  <si>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</si>
  <si>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</si>
  <si>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</si>
  <si>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</si>
  <si>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</si>
  <si>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</si>
  <si>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</si>
  <si>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</si>
  <si>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</si>
  <si>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</si>
  <si>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</si>
  <si>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</si>
  <si>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</si>
  <si>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</si>
  <si>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</si>
  <si>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</si>
  <si>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</si>
  <si>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</si>
  <si>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</si>
  <si>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</si>
  <si>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</si>
  <si>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</si>
  <si>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</si>
  <si>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</si>
  <si>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</si>
  <si>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</si>
  <si>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</si>
  <si>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</si>
  <si>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</si>
  <si>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</si>
  <si>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</si>
  <si>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</si>
  <si>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</si>
  <si>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</si>
  <si>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</si>
  <si>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</si>
  <si>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</si>
  <si>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</si>
  <si>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</si>
  <si>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</si>
  <si>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</si>
  <si>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</si>
  <si>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</si>
  <si>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</si>
  <si>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</si>
  <si>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</si>
  <si>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</si>
  <si>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</si>
  <si>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</si>
  <si>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</si>
  <si>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</si>
  <si>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</si>
  <si>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</si>
  <si>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</si>
  <si>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</si>
  <si>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</si>
  <si>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</si>
  <si>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</si>
  <si>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</si>
  <si>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</si>
  <si>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</si>
  <si>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</si>
  <si>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</si>
  <si>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</si>
  <si>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</si>
  <si>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</si>
  <si>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</si>
  <si>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</si>
  <si>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</si>
  <si>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</si>
  <si>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</si>
  <si>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</si>
  <si>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</si>
  <si>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</si>
  <si>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</si>
  <si>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</si>
  <si>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</si>
  <si>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</si>
  <si>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</si>
  <si>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</si>
  <si>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</si>
  <si>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</si>
  <si>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</si>
  <si>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</si>
  <si>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</si>
  <si>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</si>
  <si>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</si>
  <si>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</si>
  <si>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</si>
  <si>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</si>
  <si>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</si>
  <si>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</si>
  <si>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</si>
  <si>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</si>
  <si>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</si>
  <si>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</si>
  <si>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</si>
  <si>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</si>
  <si>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</si>
  <si>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</si>
  <si>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</si>
  <si>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</si>
  <si>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</si>
  <si>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</si>
  <si>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</si>
  <si>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</si>
  <si>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</si>
  <si>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</si>
  <si>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</si>
  <si>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</si>
  <si>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</si>
  <si>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</si>
  <si>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</si>
  <si>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</si>
  <si>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</si>
  <si>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</si>
  <si>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</si>
  <si>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</si>
  <si>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</si>
  <si>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</si>
  <si>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</si>
  <si>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</si>
  <si>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</si>
  <si>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</si>
  <si>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</si>
  <si>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</si>
  <si>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</si>
  <si>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</si>
  <si>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</si>
  <si>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</si>
  <si>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</si>
  <si>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</si>
  <si>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</si>
  <si>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</si>
  <si>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</si>
  <si>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</si>
  <si>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</si>
  <si>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</si>
  <si>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</si>
  <si>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</si>
  <si>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</si>
  <si>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</si>
  <si>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</si>
  <si>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</si>
  <si>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</si>
  <si>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</si>
  <si>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</si>
  <si>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</si>
  <si>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</si>
  <si>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</si>
  <si>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</si>
  <si>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</si>
  <si>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</si>
  <si>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</si>
  <si>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</si>
  <si>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</si>
  <si>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</si>
  <si>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</si>
  <si>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</si>
  <si>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</si>
  <si>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</si>
  <si>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</si>
  <si>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</si>
  <si>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</si>
  <si>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</si>
  <si>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</si>
  <si>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</si>
  <si>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</si>
  <si>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</si>
  <si>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</si>
  <si>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</si>
  <si>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</si>
  <si>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</si>
  <si>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</si>
  <si>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</si>
  <si>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</si>
  <si>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</si>
  <si>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</si>
  <si>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</si>
  <si>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</si>
  <si>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</si>
  <si>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</si>
  <si>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</si>
  <si>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</si>
  <si>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</si>
  <si>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</si>
  <si>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</si>
  <si>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</si>
  <si>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</si>
  <si>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</si>
  <si>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</si>
  <si>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</si>
  <si>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</si>
  <si>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</si>
  <si>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</si>
  <si>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</si>
  <si>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</si>
  <si>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</si>
  <si>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</si>
  <si>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</si>
  <si>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</si>
  <si>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</si>
  <si>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</si>
  <si>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</si>
  <si>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</si>
  <si>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</si>
  <si>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</si>
  <si>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</si>
  <si>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</si>
  <si>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</si>
  <si>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</si>
  <si>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</si>
  <si>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</si>
  <si>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</si>
  <si>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</si>
  <si>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</si>
  <si>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</si>
  <si>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</si>
  <si>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</si>
  <si>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</si>
  <si>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</si>
  <si>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</si>
  <si>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</si>
  <si>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</si>
  <si>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</si>
  <si>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</si>
  <si>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</si>
  <si>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</si>
  <si>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</si>
  <si>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</si>
  <si>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</si>
  <si>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</si>
  <si>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</si>
  <si>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</si>
  <si>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</si>
  <si>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</si>
  <si>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</si>
  <si>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</si>
  <si>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</si>
  <si>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</si>
  <si>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</si>
  <si>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</si>
  <si>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</si>
  <si>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</si>
  <si>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</si>
  <si>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</si>
  <si>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</si>
  <si>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</si>
  <si>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</si>
  <si>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</si>
  <si>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</si>
  <si>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</si>
  <si>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</si>
  <si>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</si>
  <si>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</si>
  <si>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</si>
  <si>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</si>
  <si>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</si>
  <si>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</si>
  <si>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</si>
  <si>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</si>
  <si>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</si>
  <si>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</si>
  <si>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</si>
  <si>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</si>
  <si>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</si>
  <si>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</si>
  <si>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</si>
  <si>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</si>
  <si>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</si>
  <si>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</si>
  <si>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</si>
  <si>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</si>
  <si>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</si>
  <si>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</si>
  <si>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</si>
  <si>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</si>
  <si>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</si>
  <si>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</si>
  <si>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</si>
  <si>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</si>
  <si>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</si>
  <si>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</si>
  <si>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</si>
  <si>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</si>
  <si>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</si>
  <si>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</si>
  <si>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</si>
  <si>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</si>
  <si>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</si>
  <si>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</si>
  <si>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</si>
  <si>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</si>
  <si>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</si>
  <si>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</si>
  <si>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</si>
  <si>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</si>
  <si>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</si>
  <si>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</si>
  <si>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</si>
  <si>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</si>
  <si>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</si>
  <si>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</si>
  <si>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</si>
  <si>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</si>
  <si>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</si>
  <si>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</si>
  <si>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</si>
  <si>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</si>
  <si>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</si>
  <si>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</si>
  <si>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</si>
  <si>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</si>
  <si>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</si>
  <si>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</si>
  <si>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</si>
  <si>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</si>
  <si>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</si>
  <si>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</si>
  <si>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</si>
  <si>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</si>
  <si>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</si>
  <si>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</si>
  <si>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</si>
  <si>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</si>
  <si>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</si>
  <si>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</si>
  <si>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</si>
  <si>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</si>
  <si>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</si>
  <si>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</si>
  <si>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</si>
  <si>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</si>
  <si>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</si>
  <si>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</si>
  <si>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</si>
  <si>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</si>
  <si>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</si>
  <si>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</si>
  <si>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</si>
  <si>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</si>
  <si>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</si>
  <si>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</si>
  <si>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</si>
  <si>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</si>
  <si>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</si>
  <si>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</si>
  <si>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</si>
  <si>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</si>
  <si>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</si>
  <si>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</si>
  <si>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</si>
  <si>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</si>
  <si>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</si>
  <si>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</si>
  <si>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</si>
  <si>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</si>
  <si>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</si>
  <si>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</si>
  <si>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</si>
  <si>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</si>
  <si>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</si>
  <si>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</si>
  <si>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</si>
  <si>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</si>
  <si>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</si>
  <si>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</si>
  <si>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</si>
  <si>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</si>
  <si>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</si>
  <si>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</si>
  <si>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</si>
  <si>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</si>
  <si>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</si>
  <si>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</si>
  <si>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</si>
  <si>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</si>
  <si>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</si>
  <si>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</si>
  <si>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</si>
  <si>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</si>
  <si>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</si>
  <si>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</si>
  <si>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</si>
  <si>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</si>
  <si>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</si>
  <si>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</si>
  <si>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</si>
  <si>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</si>
  <si>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</si>
  <si>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</si>
  <si>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</si>
  <si>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</si>
  <si>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</si>
  <si>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</si>
  <si>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</si>
  <si>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</si>
  <si>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</si>
  <si>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</si>
  <si>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</si>
  <si>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</si>
  <si>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</si>
  <si>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</si>
  <si>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</si>
  <si>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</si>
  <si>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</si>
  <si>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</si>
  <si>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</si>
  <si>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</si>
  <si>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</si>
  <si>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</si>
  <si>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</si>
  <si>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</si>
  <si>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</si>
  <si>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</si>
  <si>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</si>
  <si>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</si>
  <si>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</si>
  <si>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</si>
  <si>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</si>
  <si>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</si>
  <si>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</si>
  <si>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</si>
  <si>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</si>
  <si>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</si>
  <si>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</si>
  <si>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</si>
  <si>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</si>
  <si>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</si>
  <si>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</si>
  <si>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</si>
  <si>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</si>
  <si>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</si>
  <si>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</si>
  <si>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</si>
  <si>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</si>
  <si>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</si>
  <si>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</si>
  <si>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</si>
  <si>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</si>
  <si>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</si>
  <si>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</si>
  <si>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</si>
  <si>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</si>
  <si>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</si>
  <si>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</si>
  <si>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</si>
  <si>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</si>
  <si>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</si>
  <si>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</si>
  <si>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</si>
  <si>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</si>
  <si>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</si>
  <si>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</si>
  <si>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</si>
  <si>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</si>
  <si>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</si>
  <si>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</si>
  <si>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</si>
  <si>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</si>
  <si>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</si>
  <si>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</si>
  <si>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</si>
  <si>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</si>
  <si>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</si>
  <si>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</si>
  <si>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</si>
  <si>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</si>
  <si>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</si>
  <si>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</si>
  <si>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</si>
  <si>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</si>
  <si>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</si>
  <si>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</si>
  <si>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</si>
  <si>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</si>
  <si>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</si>
  <si>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</si>
  <si>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</si>
  <si>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</si>
  <si>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</si>
  <si>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</si>
  <si>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</si>
  <si>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</si>
  <si>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</si>
  <si>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</si>
  <si>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</si>
  <si>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</si>
  <si>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</si>
  <si>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</si>
  <si>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</si>
  <si>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</si>
  <si>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</si>
  <si>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</si>
  <si>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</si>
  <si>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</si>
  <si>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</si>
  <si>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</si>
  <si>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</si>
  <si>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</si>
  <si>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</si>
  <si>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</si>
  <si>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</si>
  <si>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</si>
  <si>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</si>
  <si>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</si>
  <si>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</si>
  <si>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</si>
  <si>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</si>
  <si>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</si>
  <si>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</si>
  <si>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</si>
  <si>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</si>
  <si>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</si>
  <si>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</si>
  <si>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</si>
  <si>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</si>
  <si>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</si>
  <si>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</si>
  <si>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</si>
  <si>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</si>
  <si>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</si>
  <si>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</si>
  <si>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</si>
  <si>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</si>
  <si>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</si>
  <si>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</si>
  <si>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</si>
  <si>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</si>
  <si>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</si>
  <si>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</si>
  <si>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</si>
  <si>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</si>
  <si>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</si>
  <si>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</si>
  <si>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</si>
  <si>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</si>
  <si>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</si>
  <si>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</si>
  <si>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</si>
  <si>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</si>
  <si>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</si>
  <si>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</si>
  <si>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</si>
  <si>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</si>
  <si>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</si>
  <si>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</si>
  <si>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</si>
  <si>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</si>
  <si>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</si>
  <si>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</si>
  <si>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</si>
  <si>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</si>
  <si>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</si>
  <si>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</si>
  <si>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</si>
  <si>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</si>
  <si>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</si>
  <si>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</si>
  <si>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</si>
  <si>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</si>
  <si>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</si>
  <si>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</si>
  <si>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</si>
  <si>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</si>
  <si>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</si>
  <si>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</si>
  <si>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</si>
  <si>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</si>
  <si>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</si>
  <si>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</si>
  <si>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</si>
  <si>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</si>
  <si>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</si>
  <si>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</si>
  <si>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</si>
  <si>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</si>
  <si>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</si>
  <si>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</si>
  <si>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</si>
  <si>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</si>
  <si>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</si>
  <si>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</si>
  <si>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</si>
  <si>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</si>
  <si>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</si>
  <si>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</si>
  <si>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</si>
  <si>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</si>
  <si>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</si>
  <si>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</si>
  <si>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</si>
  <si>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</si>
  <si>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</si>
  <si>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</si>
  <si>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</si>
  <si>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</si>
  <si>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</si>
  <si>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</si>
  <si>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</si>
  <si>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</si>
  <si>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</si>
  <si>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</si>
  <si>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</si>
  <si>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</si>
  <si>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</si>
  <si>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</si>
  <si>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</si>
  <si>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</si>
  <si>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</si>
  <si>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</si>
  <si>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</si>
  <si>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</si>
  <si>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</si>
  <si>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</si>
  <si>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</si>
  <si>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</si>
  <si>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</si>
  <si>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</si>
  <si>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</si>
  <si>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</si>
  <si>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</si>
  <si>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</si>
  <si>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</si>
  <si>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</si>
  <si>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</si>
  <si>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</si>
  <si>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</si>
  <si>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</si>
  <si>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</si>
  <si>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</si>
  <si>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</si>
  <si>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</si>
  <si>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</si>
  <si>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</si>
  <si>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</si>
  <si>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</si>
  <si>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</si>
  <si>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</si>
  <si>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</si>
  <si>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</si>
  <si>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</si>
  <si>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</si>
  <si>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</si>
  <si>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</si>
  <si>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</si>
  <si>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</si>
  <si>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</si>
  <si>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</si>
  <si>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</si>
  <si>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</si>
  <si>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</si>
  <si>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</si>
  <si>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</si>
  <si>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</si>
  <si>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</si>
  <si>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</si>
  <si>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</si>
  <si>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</si>
  <si>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</si>
  <si>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</si>
  <si>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</si>
  <si>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</si>
  <si>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</si>
  <si>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</si>
  <si>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</si>
  <si>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</si>
  <si>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</si>
  <si>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</si>
  <si>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</si>
  <si>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</si>
  <si>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</si>
  <si>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</si>
  <si>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</si>
  <si>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</si>
  <si>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</si>
  <si>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</si>
  <si>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</si>
  <si>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</si>
  <si>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</si>
  <si>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</si>
  <si>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</si>
  <si>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</si>
  <si>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</si>
  <si>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</si>
  <si>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</si>
  <si>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</si>
  <si>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</si>
  <si>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</si>
  <si>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</si>
  <si>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</si>
  <si>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</si>
  <si>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</si>
  <si>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</si>
  <si>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</si>
  <si>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</si>
  <si>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</si>
  <si>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</si>
  <si>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</si>
  <si>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</si>
  <si>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</si>
  <si>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</si>
  <si>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</si>
  <si>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</si>
  <si>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</si>
  <si>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</si>
  <si>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</si>
  <si>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</si>
  <si>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</si>
  <si>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</si>
  <si>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</si>
  <si>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</si>
  <si>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</si>
  <si>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</si>
  <si>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</si>
  <si>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</si>
  <si>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</si>
  <si>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</si>
  <si>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</si>
  <si>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</si>
  <si>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</si>
  <si>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</si>
  <si>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</si>
  <si>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</si>
  <si>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</si>
  <si>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</si>
  <si>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</si>
  <si>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</si>
  <si>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</si>
  <si>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</si>
  <si>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</si>
  <si>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</si>
  <si>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</si>
  <si>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</si>
  <si>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</si>
  <si>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</si>
  <si>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</si>
  <si>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</si>
  <si>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</si>
  <si>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</si>
  <si>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</si>
  <si>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</si>
  <si>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</si>
  <si>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</si>
  <si>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</si>
  <si>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</si>
  <si>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</si>
  <si>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</si>
  <si>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</si>
  <si>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</si>
  <si>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</si>
  <si>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</si>
  <si>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</si>
  <si>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</si>
  <si>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</si>
  <si>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</si>
  <si>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</si>
  <si>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</si>
  <si>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</si>
  <si>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</si>
  <si>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</si>
  <si>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</si>
  <si>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</si>
  <si>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</si>
  <si>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</si>
  <si>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</si>
  <si>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</si>
  <si>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</si>
  <si>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</si>
  <si>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</si>
  <si>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</si>
  <si>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</si>
  <si>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</si>
  <si>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</si>
  <si>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</si>
  <si>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</si>
  <si>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</si>
  <si>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</si>
  <si>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</si>
  <si>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</si>
  <si>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</si>
  <si>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</si>
  <si>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</si>
  <si>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</si>
  <si>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</si>
  <si>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</si>
  <si>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</si>
  <si>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</si>
  <si>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</si>
  <si>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</si>
  <si>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</si>
  <si>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</si>
  <si>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</si>
  <si>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</si>
  <si>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</si>
  <si>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</si>
  <si>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</si>
  <si>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</si>
  <si>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</si>
  <si>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</si>
  <si>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</si>
  <si>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</si>
  <si>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</si>
  <si>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</si>
  <si>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</si>
  <si>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</si>
  <si>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</si>
  <si>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</si>
  <si>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</si>
  <si>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</si>
  <si>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</si>
  <si>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</si>
  <si>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</si>
  <si>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</si>
  <si>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</si>
  <si>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</si>
  <si>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</si>
  <si>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</si>
  <si>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</si>
  <si>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</si>
  <si>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</si>
  <si>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</si>
  <si>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</si>
  <si>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</si>
  <si>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</si>
  <si>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</si>
  <si>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</si>
  <si>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</si>
  <si>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</si>
  <si>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</si>
  <si>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</si>
  <si>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</si>
  <si>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</si>
  <si>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</si>
  <si>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</si>
  <si>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</si>
  <si>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</si>
  <si>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</si>
  <si>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</si>
  <si>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</si>
  <si>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</si>
  <si>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</si>
  <si>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</si>
  <si>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</si>
  <si>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</si>
  <si>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</si>
  <si>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</si>
  <si>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</si>
  <si>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</si>
  <si>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</si>
  <si>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</si>
  <si>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</si>
  <si>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</si>
  <si>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</si>
  <si>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</si>
  <si>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</si>
  <si>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</si>
  <si>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</si>
  <si>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</si>
  <si>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</si>
  <si>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</si>
  <si>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</si>
  <si>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</si>
  <si>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</si>
  <si>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</si>
  <si>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</si>
  <si>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</si>
  <si>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</si>
  <si>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</si>
  <si>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</si>
  <si>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</si>
  <si>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</si>
  <si>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</si>
  <si>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</si>
  <si>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</si>
  <si>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</si>
  <si>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</si>
  <si>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</si>
  <si>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</si>
  <si>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</si>
  <si>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</si>
  <si>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</si>
  <si>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</si>
  <si>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</si>
  <si>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</si>
  <si>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</si>
  <si>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</si>
  <si>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</si>
  <si>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</si>
  <si>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</si>
  <si>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</si>
  <si>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</si>
  <si>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</si>
  <si>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</si>
  <si>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</si>
  <si>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</si>
  <si>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</si>
  <si>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</si>
  <si>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</si>
  <si>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</si>
  <si>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</si>
  <si>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</si>
  <si>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</si>
  <si>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</si>
  <si>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</si>
  <si>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</si>
  <si>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</si>
  <si>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</si>
  <si>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</si>
  <si>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</si>
  <si>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</si>
  <si>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</si>
  <si>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</si>
  <si>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</si>
  <si>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</si>
  <si>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</si>
  <si>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</si>
  <si>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</si>
  <si>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</si>
  <si>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</si>
  <si>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</si>
  <si>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</si>
  <si>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</si>
  <si>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</si>
  <si>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</si>
  <si>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</si>
  <si>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</si>
  <si>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</si>
  <si>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</si>
  <si>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</si>
  <si>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</si>
  <si>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</si>
  <si>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</si>
  <si>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</si>
  <si>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</si>
  <si>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</si>
  <si>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</si>
  <si>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</si>
  <si>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</si>
  <si>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</si>
  <si>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</si>
  <si>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</si>
  <si>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</si>
  <si>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</si>
  <si>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</si>
  <si>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</si>
  <si>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</si>
  <si>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</si>
  <si>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</si>
  <si>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</si>
  <si>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</si>
  <si>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</si>
  <si>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</si>
  <si>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</si>
  <si>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</si>
  <si>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</si>
  <si>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</si>
  <si>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</si>
  <si>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</si>
  <si>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</si>
  <si>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</si>
  <si>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</si>
  <si>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</si>
  <si>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</si>
  <si>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</si>
  <si>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</si>
  <si>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</si>
  <si>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</si>
  <si>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</si>
  <si>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</si>
  <si>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</si>
  <si>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</si>
  <si>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</si>
  <si>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</si>
  <si>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</si>
  <si>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</si>
  <si>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</si>
  <si>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</si>
  <si>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</si>
  <si>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</si>
  <si>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</si>
  <si>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</si>
  <si>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</si>
  <si>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</si>
  <si>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</si>
  <si>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</si>
  <si>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</si>
  <si>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</si>
  <si>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</si>
  <si>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</si>
  <si>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</si>
  <si>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</si>
  <si>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</si>
  <si>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</si>
  <si>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</si>
  <si>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</si>
  <si>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</si>
  <si>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</si>
  <si>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</si>
  <si>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</si>
  <si>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</si>
  <si>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</si>
  <si>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</si>
  <si>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</si>
  <si>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</si>
  <si>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</si>
  <si>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</si>
  <si>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</si>
  <si>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</si>
  <si>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</si>
  <si>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</si>
  <si>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</si>
  <si>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</si>
  <si>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</si>
  <si>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</si>
  <si>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</si>
  <si>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</si>
  <si>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</si>
  <si>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</si>
  <si>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</si>
  <si>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</si>
  <si>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</si>
  <si>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</si>
  <si>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</si>
  <si>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</si>
  <si>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</si>
  <si>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</si>
  <si>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</si>
  <si>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</si>
  <si>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</si>
  <si>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</si>
  <si>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</si>
  <si>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</si>
  <si>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</si>
  <si>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</si>
  <si>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</si>
  <si>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</si>
  <si>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</si>
  <si>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</si>
  <si>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</si>
  <si>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</si>
  <si>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</si>
  <si>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</si>
  <si>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</si>
  <si>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</si>
  <si>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</si>
  <si>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</si>
  <si>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</si>
  <si>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</si>
  <si>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</si>
  <si>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</si>
  <si>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</si>
  <si>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</si>
  <si>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</si>
  <si>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</si>
  <si>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</si>
  <si>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</si>
  <si>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</si>
  <si>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</si>
  <si>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</si>
  <si>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</si>
  <si>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Haridwar,Uttarakhand</t>
  </si>
  <si>
    <t>No reason to believe sources from DRC or covered countries | Due diligence results pending</t>
  </si>
  <si>
    <t>Mumbai, Maharashtra</t>
  </si>
  <si>
    <t>Due diligence results pending</t>
  </si>
  <si>
    <t>Okayama, Okayama</t>
  </si>
  <si>
    <t>Recyled/Scrap | 0 | Recycled, Scrap</t>
  </si>
  <si>
    <t>Recyled/Scrap | Does not source from DRC or covered countries | Due diligence results pending | No known country of origin | 0 | Mineral sourcing R/S based on RMAP-RMI's RCOI data | Recycled/Scrap Only</t>
  </si>
  <si>
    <t>Compliant Conformant</t>
  </si>
  <si>
    <t>Kazuno, Akita</t>
  </si>
  <si>
    <t>Cota, Cundinamarca</t>
  </si>
  <si>
    <t>Ahmedab, Gujarat</t>
  </si>
  <si>
    <t>Ahmedab</t>
  </si>
  <si>
    <t>Does not source from DRC or covered countries | Due diligence results pending</t>
  </si>
  <si>
    <t>Cochin,Kerala</t>
  </si>
  <si>
    <t>Sharjah,Ash Shāriqah</t>
  </si>
  <si>
    <t>Reason to believe sources from the DRC or covered countries | Due diligence results pending | No known country of origin</t>
  </si>
  <si>
    <t>Fairfield,Ohio</t>
  </si>
  <si>
    <t>Does not source from DRC or covered countries | DRC or an adjoining country (Covered Countries), Myanmar, Cambodia, Malaysia, Kazakhstan, Portugal, Austria, Mongolia, Luxembourg, Republic Of Korea, Guyana, Brazil, Chile, Laos, Ecuador, Colombia, Argentina, Hungary, Japan, India, Canada, Belgium, Namibi | No known country of origin</t>
  </si>
  <si>
    <t>Chopyeong-myeon, Chungcheongbuk-do</t>
  </si>
  <si>
    <t>Recyled/Scrap | Recycled, Scrap | 0 | not available | Recycled, Scrap</t>
  </si>
  <si>
    <t>Recyled/Scrap | Does not source from DRC or covered countries | Republic Of Korea | Recycled/Scrap Only | Recycled/Scrap Only | Recycled, Scrap | Does not source from DRC or covered countries | No known country of origin | 0 | R/S | Mineral sourcing R/S</t>
  </si>
  <si>
    <t>Pyeongtaek-si,Gyeonggi-do</t>
  </si>
  <si>
    <t>No reason to believe sources from DRC or covered countries | Republic Of Korea | No reason to believe sources from DRC or covered countries | No known country of origin</t>
  </si>
  <si>
    <t>Accra, Accra</t>
  </si>
  <si>
    <t>Entebbe,Wakiso</t>
  </si>
  <si>
    <t>Sources from DRC or covered countries | Uganda</t>
  </si>
  <si>
    <t>Vilnius,Vilnius</t>
  </si>
  <si>
    <t>No reason to believe sources from DRC or covered countries | Lithuania | No known country of origin</t>
  </si>
  <si>
    <t>Arezzo, Toscana</t>
  </si>
  <si>
    <t>RCOI confirmed as per RMI. | Recycled, Scrap | 0 | Not disclosed by supplier | Recycled, Scrap</t>
  </si>
  <si>
    <t>RCOI confirmed as per RMI. | Does not source from DRC or covered countries | Italy, USA, China | Recycled, Scrap | Does not source from DRC or covered countries | Italy | 0 | R/S (RJC RCOI data) | Mineral sourcing not disclosed per RJC, Recycled, Scrap</t>
  </si>
  <si>
    <t>Mejillones, Antofagasta</t>
  </si>
  <si>
    <t>RCOI confirmed as per RMI. | 0 | Not disclosed by supplier</t>
  </si>
  <si>
    <t>RCOI confirmed as per RMI. | Does not source from DRC or covered countries | DRC or an adjoining country (Covered Countries), Argentina, USA, Japan, Zambia, Switzerland, Canada, China, Australia, Chile, Peru, Germany, Indonesia | Excludes Covered Countries | Does not source from DRC or covered countries | No known country of origin | 0 | Excludes Covered Countries | LR | Mineral sourcing LR based on RMAP-RMI's RCOI data</t>
  </si>
  <si>
    <t>Gunsan-si, Jeollabuk-do</t>
  </si>
  <si>
    <t>Recyled/Scrap | Recycled, Scrap | 0 | Recycled, Scrap</t>
  </si>
  <si>
    <t>Recyled/Scrap | Does not source from DRC or covered countries | Myanmar, Cambodia, Malaysia, Kazakhstan, Portugal, Mongolia, Austria, Luxembourg, Guyana, Republic Of Korea, Brazil, Chile, Laos, Colombia, Ecuador, Argentina, Hungary, Japan, India, Canada, Belgium, Namibia, China, Peru, Germany, Ethiopia, Russia, Singap | Recycled/Scrap Only | Recycled, Scrap | Does not source from DRC or covered countries | No known country of origin | 0 | Recycled/Scrap Only | R/S | Mineral sourcing R/S</t>
  </si>
  <si>
    <t>New  DelhiHaryana</t>
  </si>
  <si>
    <t>Warwick,Rhode Island</t>
  </si>
  <si>
    <t>Does not source from DRC or covered countries | China, USA | No known country of origin</t>
  </si>
  <si>
    <t>Pforzheim,Baden-Württemberg</t>
  </si>
  <si>
    <t>No reason to believe sources from DRC or covered countries | Canada, Germany | No known country of origin</t>
  </si>
  <si>
    <t>KYSHTYM COPPER-ELECTROLYTIC PLANT ZAO</t>
  </si>
  <si>
    <t>Kyshtym,Chelyabinskaya oblast'</t>
  </si>
  <si>
    <t>Does not source from DRC or covered countries | Russia, Saudi Arabia | No known country of origin</t>
  </si>
  <si>
    <t>Bangalore, Karnataka</t>
  </si>
  <si>
    <t>Some are recyled/scrap sourced but not all. | 0 | not available | Some are recycled or scrap sourced but not all.</t>
  </si>
  <si>
    <t>Some are recyled/scrap sourced but not all. | No reason to believe sources from DRC or covered countries | Belgium, Canada, Philippines, Japan, China, Brazil, Malaysia, Bolivia, Peru, Germany, India, Recycled/Scrap | Excludes Covered Countries | Excludes Covered Countries | Does not source from DRC or covered countries | No known country of origin | 0 | LR, R/S | Mineral sourcing LR, R/S based on RMAP-RMI's RCOI data</t>
  </si>
  <si>
    <t>Kawasan Perindustrian Bukit Rambai,Melaka</t>
  </si>
  <si>
    <t>Does not source from DRC or covered countries | Netherlands, Philippines, China, Thailand, Recycled/Scrap, Germany, Malaysia, New Zealand, Russia</t>
  </si>
  <si>
    <t>Parwanoo,Himachal Pradesh</t>
  </si>
  <si>
    <t>No reason to believe sources from DRC or covered countries | India, Indonesia, Recycled/Scrap | No known country of origin</t>
  </si>
  <si>
    <t>Ahmedabad,Gujarat</t>
  </si>
  <si>
    <t>No reason to believe sources from DRC or covered countries | Myanmar, Cambodia, Malaysia, Kazakhstan, Portugal, Mongolia, Austria, Luxembourg, Guyana, Brazil, Republic Of Korea, Chile, Laos, Ecuador, Argentina, Hungary, Japan, India, Canada, Belgium, Namibia, China, Peru, Ethiopia, Germany, Russia, Vietnam, USA, Eg | No known country of origin</t>
  </si>
  <si>
    <t>Johannesburg, Gauteng</t>
  </si>
  <si>
    <t>RCOI confirmed as per RMI. | Not disclosed per RJC | 0 | Not disclosed by supplier</t>
  </si>
  <si>
    <t>RCOI confirmed as per RMI. | Does not source from DRC or covered countries | Recycled/Scrap, Republic Of Korea, South Africa | Not disclosed per RJC | Does not source from DRC or covered countries | No known country of origin | 0 | R/S and Mined (material risk not disclosed by RJC) | Mineral sourcing not disclosed per RJC | Excludes Covered Countries</t>
  </si>
  <si>
    <t>Vienna, Wien</t>
  </si>
  <si>
    <t>RCOI confirmed as per RMI. | Some are recycled or scrap sourced but not all. | 0 | Not disclosed by supplier | Some are recycled or scrap sourced but not all.</t>
  </si>
  <si>
    <t>RCOI confirmed as per RMI. | Does not source from DRC or covered countries | Austria, Indonesia, China, Japan, Recycled/Scrap, Peru, Colombia, Mongolia, Italy | Some are recycled or scrap sourced but not all. | Does not source from DRC or covered countries | Austria, Indonesia | 0 | R/S and Mined (material risk not disclosed by RJC - only source ASM from Fairmined and Fairtrade mines) | Mineral sourcing R/S and Mines not disclosed per RJC | Excludes Covered Countries</t>
  </si>
  <si>
    <t>Pforzeim, Baden-Wurttemberg</t>
  </si>
  <si>
    <t>Pforzeim</t>
  </si>
  <si>
    <t>Baden-Wurttemberg</t>
  </si>
  <si>
    <t>Some are recycled/scrap sourced but not all. | 0 | Recycled, Scrap and mines | Not disclosed by supplier</t>
  </si>
  <si>
    <t>Some are recycled/scrap sourced but not all. | Does not source from DRC or covered countries | Germany, Switzerland, Recycled/Scrap | Excludes Covered Countries | Does not source from DRC or covered countries | Germany | 0 | Excludes Covered Countries | L1, R/S | Mineral sourcing L1, R/S based on RMAP-RMI's RCOI data</t>
  </si>
  <si>
    <t>Halsbruke, Sachsen</t>
  </si>
  <si>
    <t>Halsbruke</t>
  </si>
  <si>
    <t>Some are recycled/scrap sourced but not all. | Some are recycled or scrap sourced but not all. | 0 | Recycled, Scrap and mines | Some are recycled or scrap sourced but not all.</t>
  </si>
  <si>
    <t>Some are recycled/scrap sourced but not all. | Does not source from DRC or covered countries | Myanmar, Cambodia, Malaysia, Kazakhstan, Portugal, Austria, Mongolia, Luxembourg, Brazil, Guyana, Republic Of Korea, Chile, Laos, Colombia, Ecuador, Argentina, Hungary, Japan, India, Canada, Belgium, Namibia, China, Peru, Ethiopia, Germany, Russia, Vietna | Excludes Covered Countries | Some are recycled or scrap sourced but not all. | Does not source from DRC or covered countries | Germany | 0 | Excludes Covered Countries | L1, R/S | Mineral sourcing L1, R/S based on RMAP-RMI's RCOI data</t>
  </si>
  <si>
    <t>RCOI confirmed as per RMI. | Some are recycled or scrap sourced but not all. | Not disclosed per RJC | 0 | Not disclosed by supplier | Some are recycled or scrap sourced but not all.</t>
  </si>
  <si>
    <t>RCOI confirmed as per RMI. | Does not source from DRC or covered countries | Italy, Recycled/Scrap, China, Philippines, Malaysia, Canada, Mongolia, Austria, Mozambique, Mexico, South Africa, USA, Australia, Germany | Some are recycled or scrap sourced but not all. | Not disclosed per RJC | Does not source from DRC or covered countries | No known country of origin | 0 | R/S and Mined (material risk not disclosed by RJC) | Mineral sourcing R/S and Mines not disclosed per LBMA RG / RJC</t>
  </si>
  <si>
    <t>Pero, Lombardia</t>
  </si>
  <si>
    <t>RCOI confirmed as per RMI. | Not disclosed per RJC | 0 | not available | Not disclosed by supplier</t>
  </si>
  <si>
    <t>RCOI confirmed as per RMI. | Does not source from DRC or covered countries | Due diligence results pending | Not disclosed per RJC | Does not source from DRC or covered countries | No known country of origin | 0 | Not disclosed per RJC | Mineral sourcing not disclosed per RJC</t>
  </si>
  <si>
    <t>Andorra</t>
  </si>
  <si>
    <t>Some are recycled/scrap, covered countries sourced but not all. | Some are recycled, scrap or cover countries sourced but not all. | 0 | Some are recycled, scrap or cover countries sourced but not all. | Some are recycled, scrap or covered countries sourced but not all.</t>
  </si>
  <si>
    <t>Some are recycled/scrap, covered countries sourced but not all. | No reason to believe sources from DRC or covered countries | China, Myanmar, Cambodia, Malaysia, Kazakhstan, Portugal, Austria, Mongolia, Luxembourg, Guyana, Brazil, Republic Of Korea, Chile, Laos, Colombia, Ecuador, Argentina, Hungary, Japan, India, Canada, Belgium, Namibia, Peru, Germany, Ethiopia, Russia, Singap | Includes Covered Countries | Tanzania | Some are recycled, scrap or cover countries sourced but not all. | No known country of origin | 0 | Includes Covered Countries | L1, CC, R/S | Mineral sourcing L1, CC, R/S based on RMAP-RMI's RCOI data</t>
  </si>
  <si>
    <t>Paris, Île-de-France</t>
  </si>
  <si>
    <t>RCOI confirmed as per RMI. | Not disclosed per RJC | Some are recycled or scrap sourced but not all. | 0 | Not disclosed by supplier</t>
  </si>
  <si>
    <t>RCOI confirmed as per RMI. | Does not source from DRC or covered countries | Canada, China, Japan, Bolivia, USA, France, Recycled/Scrap, Russia | Not disclosed per RJC | Some are recycled or scrap sourced but not all. | Does not source from DRC or covered countries | No known country of origin | 0 | R/S and Mined (material risk not disclosed by RJC) | Mineral sourcing not disclosed per RJC</t>
  </si>
  <si>
    <t>Fairless Hills,Pennsylvania</t>
  </si>
  <si>
    <t>Does not source from DRC or covered countries | China, Japan, USA, Recycled/Scrap</t>
  </si>
  <si>
    <t>Astana, Almaty</t>
  </si>
  <si>
    <t>RCOI confirmed as per RMI. | Does not source from DRC or covered countries | Austria, Kazakhstan | No known country of origin | 0 | Mineral sourcing not disclosed per LBMA RG</t>
  </si>
  <si>
    <t>Sao Paolo, São Paulo</t>
  </si>
  <si>
    <t>Sao Paolo</t>
  </si>
  <si>
    <t>Some are recyled/scrap sourced but not all. | Some are recycled or scrap sourced but not all. | 0 | Recycled, Scrap and mines | Not disclosed by supplier</t>
  </si>
  <si>
    <t>Some are recyled/scrap sourced but not all. | Does not source from DRC or covered countries | Brazil, China, Japan, Myanmar, Cambodia, Malaysia, Kazakhstan, Portugal, Mongolia, Austria, Luxembourg, Guyana, Republic Of Korea, Chile, Laos, Colombia, Ecuador, Argentina, Hungary, India, Canada, Belgium, Namibia, Peru, Germany, Ethiopia, Russia, Singap | Some are recycled or scrap sourced but not all. | Does not source from DRC or covered countries | No known country of origin | 0 | LR, R/S | Mineral sourcing LR, R/S based on RMAP-RMI's RCOI data</t>
  </si>
  <si>
    <t>Gangnam, Seoul-teukbyeolsi</t>
  </si>
  <si>
    <t>RCOI confirmed as per RMI. | Does not source from DRC or covered countries | Excludes Covered Countries | Japan, Australia, Republic Of Korea | No reason to believe sources from DRC or covered countries | No known country of origin | 0 | Excludes Covered Countries | L1 | Mineral sourcing L1 based on RMAP-RMI's RCOI data</t>
  </si>
  <si>
    <t>Reason to believe sources from the DRC or covered countries | Due diligence results pending</t>
  </si>
  <si>
    <t>Antwerp,Antwerpen</t>
  </si>
  <si>
    <t>Reason to believe sources from the DRC or covered countries | Belgium, Vietnam</t>
  </si>
  <si>
    <t>Fujairah,Al Fujayrah</t>
  </si>
  <si>
    <t>Moerdijk, Noord-Brabant</t>
  </si>
  <si>
    <t>Recyled/Scrap | Some are recycled or scrap sourced but not all. | 0 | not available | Recycled, Scrap based on RMAP-RMI's RCOI data</t>
  </si>
  <si>
    <t>Recyled/Scrap | Does not source from DRC or covered countries | Netherlands, China, Philippines, Thailand, Canada, Japan, Bolivia, Recycled/Scrap, Russia | Excludes Covered Countries | Excludes Covered Countries | Some are recycled or scrap sourced but not all. | Does not source from DRC or covered countries | 0 | LR, R/S | Mineral sourcing R/S based on RMAP-RMI's RCOI data</t>
  </si>
  <si>
    <t>Capolona, Toscana</t>
  </si>
  <si>
    <t>RCOI confirmed as per RMI. | Not disclosed per LBMA | 0 | Arezzo, Alessandria and Vicenza | Not disclosed by supplier</t>
  </si>
  <si>
    <t>RCOI confirmed as per RMI. | Does not source from DRC or covered countries | Italy, Recycled/Scrap, China, Japan | Not disclosed per LBMA | Does not source from DRC or covered countries | Italy | 0 | Known Countries from which LBMA Good Delivery List Refiners Source - Mined  Material (Provided by LBMA) | LBMA Good Delivery Sourcing based on RMAP-RMI's RCOI data</t>
  </si>
  <si>
    <t>Khartoum,Khartoum</t>
  </si>
  <si>
    <t>Reason to believe sources from the DRC or covered countries | China, Sudan</t>
  </si>
  <si>
    <t>Dubai,Dubayy</t>
  </si>
  <si>
    <t>Reason to believe sources from the DRC or covered countries | United Arab Emirates, Japan</t>
  </si>
  <si>
    <t>Dubai, Dubayy</t>
  </si>
  <si>
    <t>Some are recycled/scrap, and covered countries sourced but not all. | Some are recycled, scrap or cover countries sourced but not all. | 0 | Not disclosed by supplier | Some are recycled, scrap or covered countries sourced but not all.</t>
  </si>
  <si>
    <t>Some are recycled/scrap, and covered countries sourced but not all. | Reason to believe sources from the DRC or covered countries | United Arab Emirates, China, DRC or an adjoining country (Covered Countries), Recycled/Scrap | Includes Covered Countries | Tanzania | Some are recycled, scrap or cover countries sourced but not all. | Does not source from DRC or covered countries | United Arab Emirates | 0 | Includes Covered Countries | LR, CC, R/S | Mineral sourcing LR, CC, R/S based on RMAP-RMI's RCOI data</t>
  </si>
  <si>
    <t>Some are recycled/scrap, and high risk sourced but not all. | Some are recycled or scrap sourced but not all. | 0 | not available | Not disclosed by supplier</t>
  </si>
  <si>
    <t>Some are recycled/scrap, and high risk sourced but not all. | Does not source from DRC or covered countries | Recycled/Scrap, Myanmar, Cambodia, Malaysia, Kazakhstan, Portugal, Austria, Mongolia, Luxembourg, Republic Of Korea, Guyana, Brazil, Chile, Laos, Ecuador, Colombia, Argentina, Hungary, Japan, India, Canada, Belgium, Namibia, China, Peru, Germany, Ethiopia | Includes Covered Countries | Some are recycled or scrap sourced but not all. | No known country of origin | 0 | Includes Covered Countries | HR, R/S | Mineral sourcing HR, R/S based on RMAP-RMI's RCOI data</t>
  </si>
  <si>
    <t>Laizhou,Shandong Sheng</t>
  </si>
  <si>
    <t>No reason to believe sources from DRC or covered countries | Due diligence results pending | No known country of origin</t>
  </si>
  <si>
    <t>Dayuan, Taoyuan</t>
  </si>
  <si>
    <t>Some are recycled/scrap sourced but not all. | Some are recycled or scrap sourced but not all. | 0 | Recycled, Scrap | Some are recycled or scrap sourced but not all.</t>
  </si>
  <si>
    <t>Some are recycled/scrap sourced but not all. | Does not source from DRC or covered countries | Myanmar, Cambodia, Malaysia, Kazakhstan, Portugal, Mongolia, Austria, Luxembourg, Guyana, Republic Of Korea, Brazil, Chile, Laos, Ecuador, Colombia, Argentina, Hungary, Japan, India, Canada, Belgium, Namibia, China, Peru, Germany, Ethiopia, Russia, Singap | Excludes Covered Countries | Some are recycled or scrap sourced but not all. | Does not source from DRC or covered countries | Myanmar, Cambodia, Malaysia, Kazakhstan, Portugal, Mongolia, Austria, Luxembourg, Brazil, Korea, Republic of, Guyana, Chile, Laos, Ecuador, Colombia, Argenti | L1, R/S | Mineral sourcing L1, R/S based on RMAP-RMI's RCOI data</t>
  </si>
  <si>
    <t>Msasa,Harare</t>
  </si>
  <si>
    <t>Reason to believe sources from the DRC or covered countries | Zimbabwe, USA</t>
  </si>
  <si>
    <t>Lubin, Dolnośląskie</t>
  </si>
  <si>
    <t>RCOI confirmed as per RMI. | Not disclosed per LBMA | 0 | not available | Not disclosed by supplier</t>
  </si>
  <si>
    <t>RCOI confirmed as per RMI. | Does not source from DRC or covered countries | Chile, Poland, Thailand, Indonesia, Poland, Myanmar, Cambodia, Malaysia, Kazakhstan, Portugal, Mongolia, Austria, Luxembourg, Guyana, Brazil, Republic Of Korea, Laos, Ecuador, Colombia, Argentina, Hungary, Japan, India, Canada, Belgium, Namibia, China, Pe | Not disclosed per LBMA | Does not source from DRC or covered countries | Chile | 0 | Known Countries from which LBMA Good Delivery List Refiners Source - Mined  Material (Provided by LBMA) | LBMA Good Delivery Sourcing based on RMAP-RMI's RCOI data | Excludes Covered Countries</t>
  </si>
  <si>
    <t>Mewat, Haryana</t>
  </si>
  <si>
    <t>RCOI confirmed as per RMI. | Not disclosed per LBMA | 0 | Iron Ore Mine at Koira in the districts of Sundergarh and Koenjhar | Not disclosed by supplier</t>
  </si>
  <si>
    <t>RCOI confirmed as per RMI. | Sources from DRC or covered countries | USA, India, Australia, Brazil, Zambia, Kenya, Zimbabwe, DRC or an adjoining country (Covered Countries), China, Japan, Recycled/Scrap, Zimbabwe Russia | Not disclosed per LBMA | United States, India | 0 | Known Countries from which LBMA Good Delivery List Refiners Source - Mined  Material (Provided by LBMA) | LBMA Good Delivery Sourcing based on RMAP-RMI's RCOI data</t>
  </si>
  <si>
    <t>Warwick, Rhode Island</t>
  </si>
  <si>
    <t>Recyled/Scrap | Recycled, Scrap | recycled | 0 | Recycled, Scrap</t>
  </si>
  <si>
    <t>Recyled/Scrap | Does not source from DRC or covered countries | USA, Recycled/Scrap, Indonesia, China, Switzerland | Recycled/Scrap Only | Recycled, Scrap | recycled | Does not source from DRC or covered countries | United States, China | 0 | Recycled/Scrap Only | R/S | Mineral sourcing R/S</t>
  </si>
  <si>
    <t>Khwaeng Dok Mai, Krung Thep Maha Nakhon</t>
  </si>
  <si>
    <t>RCOI confirmed as per RMI. | 0 | not available | Recycled or Scrap | Not disclosed by supplier</t>
  </si>
  <si>
    <t>RCOI confirmed as per RMI. | Does not source from DRC or covered countries | USA, China, Thailand, Peru, Belgium, Indonesia, Recycled/Scrap, Brazil | Does not source from DRC or covered countries | United States, China, Thailand, Peru | 0 | Not disclosed per RJC | R/S and Mined (material risk not disclosed by RJC) | Mineral sourcing R/S and Mines not disclosed per RJC | Recycled/Scrap Only</t>
  </si>
  <si>
    <t>Guangzhou, Guangdong Sheng</t>
  </si>
  <si>
    <t>No reason to believe sources from DRC or covered countries | China, Brazil, Australia, Peru, Japan, Recycled/Scrap, Russia</t>
  </si>
  <si>
    <t>Safina a.s.</t>
  </si>
  <si>
    <t>Vestec, Praha-západ</t>
  </si>
  <si>
    <t>Recyled/Scrap | Recycled, Scrap</t>
  </si>
  <si>
    <t>Recyled/Scrap | Does not source from DRC or covered countries | Czech Republic, Recycled/Scrap, Boliva | Mineral sourcing R/S | Recycled/Scrap Only | Excludes Covered Countries</t>
  </si>
  <si>
    <t>Onehunga,Auckland</t>
  </si>
  <si>
    <t>Does not source from DRC or covered countries | New Zealand, USA, Recycled/Scrap, India, Japan</t>
  </si>
  <si>
    <t>Shanghang, Fujian Sheng</t>
  </si>
  <si>
    <t>RCOI confirmed as per RMI. | No reason to believe sources from DRC or covered countries | Russia, Papua New Guinea, Japan, Malaysia, Bolivia, Canada, Mongolia, Mozambique, China, Brazil, Poland, Australia, Peru, Kyrgyzstan, Indonesia, Recycled/Scrap, Uzbekistan, DRC or an adjoining country (Covered Countries) | Papua New Guinea, Russian Federation, Japan, Malaysia, Bolivia, Canada, Mongolia, Mozambique, China, Brazil, Poland, Australia, Peru, Tajikistan, Kyrgyzstan, Indonesia | 0 | Known Countries from which LBMA Good Delivery List Refiners Source - Mined  Material (Provided by LBMA) | LBMA Good Delivery Sourcing based on RMAP-RMI's RCOI data</t>
  </si>
  <si>
    <t>Sanmenxia, Henan Sheng</t>
  </si>
  <si>
    <t>RCOI confirmed as per RMI. | 0 | From Zhongyuan Gold Smelter of Zhongjin Gold Corporation | Not disclosed by supplier | Zhongyaun Gold Smelter of Zhongjim Gold Corporation</t>
  </si>
  <si>
    <t>RCOI confirmed as per RMI. | No reason to believe sources from DRC or covered countries | China, Recycled/Scrap, Canada, Mongolia, Mozambique, Philippines, Australia, Thailand, Switzerland, Laos, Germany, Ethiopia, Japan, Indonesia, Russia | No reason to believe sources from DRC or covered countries | Canada, Mongolia, Mozambique, China, Philippines, Australia, Thailand, Laos, Switzerland, Ethiopia, Germany | 0 | Known Countries from which LBMA Good Delivery List Refiners Source - Mined  Material (Provided by LBMA) | LBMA Good Delivery Sourcing based on RMAP-RMI's RCOI data | China | Excludes Covered Countries</t>
  </si>
  <si>
    <t>Sagamihara, Kanagawa</t>
  </si>
  <si>
    <t>Recyled/Scrap | Does not source from DRC or covered countries | Japan, Recycled/Scrap, Brazil, China, Malaysia, Spain, Canada | Recycled/Scrap Only | Recycled, Scrap | Does not source from DRC or covered countries | China, Japan, Brazil, Malaysia, Spain | 0 | Recycled/Scrap Only | R/S | Mineral sourcing R/S</t>
  </si>
  <si>
    <t>Konan, Kochi</t>
  </si>
  <si>
    <t>Some are recycled/scrap sourced but not all. | 0 | Recycled, Scrap and mines | Some are recycled or scrap sourced but not all.</t>
  </si>
  <si>
    <t>Some are recycled/scrap sourced but not all. | Does not source from DRC or covered countries | Canada, Mozambique, USA, China, Japan, Brazil, Australia, Japan, Australia, Germany, Recycled/Scrap, DRC or an adjoining country (Covered Countries), Russia, Mexico, Switzerland, Indonesia | Excludes Covered Countries | Does not source from DRC or covered countries | Canada, Mozambique, United States, Japan, China, Brazil, Australia | 0 | Excludes Covered Countries | L1, R/S | Mineral sourcing L1, R/S based on RMAP-RMI's RCOI data</t>
  </si>
  <si>
    <t>Newburn, Western Australia</t>
  </si>
  <si>
    <t>Not Disclosed per LBMA | RCOI confirmed as per RMI. | Refining etc.; The Perth Mint; The Bronzewing Gold Mine/Perth Mint; Perth Mint; Recycled and from the Bronzewing Gold Mine | Recycled | Recycled | 0 | Recycled, Scrap and from Bronzewing Gold Mine | Perth Mint | Recycled and from Boddington Gold Mine and Bronzewing Gold Mine</t>
  </si>
  <si>
    <t>RCOI Confirmed as per CSFI | RCOI confirmed as per RMI. | Does not source from DRC or covered countries | Papua New Guinea, China, Republic Of Korea, Australia, Chile, Bolivia, Peru, Recycled/Scrap, Australia | AUSTRALIA; UNKNOWN | Recycled etc. | Recycled etc. | Does not source from DRC or covered countries | Papua New Guinea, Hong Kong, Guinea, China, Korea, Republic of, Bolivia, Australia, Chile, Peru | 0 | Known Countries from which LBMA Good Delivery List Refiners Source - Mined  Material (Provided by LBMA) | AUSTRALIA | From Australia | Excludes Covered Countries</t>
  </si>
  <si>
    <t>Balerna, Ticino</t>
  </si>
  <si>
    <t>Not Disclosed per RJC | RCOI confirmed as per RMI. | Valcambi SA | Not disclosed per RJC/LBMA | 0 | Not disclosed by supplier</t>
  </si>
  <si>
    <t>RCOI Confirmed as per CSFI | RCOI confirmed as per RMI. | Does not source from DRC or covered countries | China, Japan, Australia, Switzerland, Germany, Recycled/Scrap, USA | SWITZERLAND; UNKNOWN | Not disclosed per RJC/LBMA | No reason to believe sources from DRC or covered countries | Hong Kong, Japan, China, Taiwan, Australia, Switzerland, Germany | 0 | Known Countries from which LBMA Good Delivery List Refiners Source - Mined  Material (Provided by LBMA) | LBMA Good Delivery Sourcing based on RMAP-RMI's RCOI data | Excludes Covered Countries</t>
  </si>
  <si>
    <t>Alden, New York</t>
  </si>
  <si>
    <t>Recycled scrap material | Some are recyled/scrap sourced but not all. | Recycled | Recycled scrap material | Some are recycled or scrap sourced but not all. | 0 | Recycled, Scrap and mines | Some are recycled or scrap sourced but not all.</t>
  </si>
  <si>
    <t>Recycled scrap material | Some are recyled/scrap sourced but not all. | Does not source from DRC or covered countries | Canada, Russia, Belgium, USA, Japan, China, Thailand, Bolivia, Australia, Switzerland, Peru, Indonesia, Recycled/Scrap | Recycled etc. | Recycled scrap material | Some are recycled or scrap sourced but not all. | Does not source from DRC or covered countries | Canada, Russian Federation, Belgium, United States, China, Japan, Thailand, Bolivia, Australia, Peru, Switzerland, Indonesia | 0 | LR, R/S | Mineral sourcing LR,R/S based on RMAP-RMI's RCOI data | Excludes Covered Countries</t>
  </si>
  <si>
    <t>Hoboken, Antwerpen</t>
  </si>
  <si>
    <t>RCOI confirmed as per RMI. | Recycled | Not disclosed per LBMA | recycled | 0 | recycled | Recycled, Scrap | Recycled and scrap</t>
  </si>
  <si>
    <t>RCOI confirmed as per RMI. | No reason to believe sources from DRC or covered countries | Canada, China, Japan, Bolivia, Belgium, Recycled/Scrap | BELGIUM; UNKNOWN | Not disclosed per LBMA | recycled | 0 | recycled | Known Countries from which LBMA Good Delivery List Refiners Source - Mined  Material (Provided by LBMA) | Mineral sourcing R/S | Excludes Covered Countries</t>
  </si>
  <si>
    <t>Asan, Chungcheongnam-do</t>
  </si>
  <si>
    <t>Recyled/Scrap | Does not source from DRC or covered countries | Russia, China, Republic Of Korea, Brazil, Mexico, Chile, Bolivia, Indonesia, Recycled/Scrap, Switzerland | Recycled/Scrap Only | Does not source from DRC or covered countries | Russian Federation, China, Brazil, Korea, Republic of, Mexico, Bolivia, Chile, Indonesia | 0 | Recycled/Scrap Only | R/S | Mineral sourcing R/S</t>
  </si>
  <si>
    <t>Tongling, Anhui Sheng</t>
  </si>
  <si>
    <t>No reason to believe sources from DRC or covered countries | China, Recycled/Scrap, Japan, Germany, Vietnam | China</t>
  </si>
  <si>
    <t>Kuki, Saitama</t>
  </si>
  <si>
    <t>recycled | RCOI confirmed as per RMI. | Recycled | Not disclosed per LBMA | recycled | 0 | Not disclosed | Recycled and not disclosed</t>
  </si>
  <si>
    <t>recycled | RCOI confirmed as per RMI. | Does not source from DRC or covered countries | Recycled/Scrap, Canada, China, USA, Japan, Australia, Chile, Peru, Indonesia | Recycled | Not disclosed per LBMA | RCOI confirmed as per CFSI | Does not source from DRC or covered countries | Canada, Hong Kong, United States, Japan, China, Chile, Australia, Peru | 0 | Yes | Known Countries from which LBMA Good Delivery List Refiners Source - Mined  Material (Provided by LBMA) | Not disclosed | Mineral sourcing R/S | Yes | Excludes Covered Countries</t>
  </si>
  <si>
    <t>Laizhou, Shandong Sheng</t>
  </si>
  <si>
    <t>RCOI confirmed as per RMI. | Heraeus (Zhaoyuan) Precious Metal Materials Co.,Ltd.; Pangkal Pinang, Bangka Island Indonesia; Not disclosed by supplier; Three mountain island gold mining area; Shandong; Not disclosed per LBMA; The Refinery of Shandong Gold Mining Co. Ltd; /; www.respon | Not disclosed per LBMA | 0 | RECYCLED | Sanshan  island   gold mine | Not disclosed by supplier</t>
  </si>
  <si>
    <t>RCOI confirmed as per RMI. | No reason to believe sources from DRC or covered countries | China, Peru, Indonesia, Recycled/Scrap, Japan, Australia, USA | INDONESIA; CHINA; UNKNOWN | China | Not disclosed per LBMA | China | No reason to believe sources from DRC or covered countries | China, Peru | 0 | RECYCLED | Known Countries from which LBMA Good Delivery List Refiners Source - Mined  Material (Provided by LBMA) | LBMA Good Delivery Sourcing based on RMAP-RMI's RCOI data | Excludes Covered Countries</t>
  </si>
  <si>
    <t>Chengdu, Sichuan Sheng</t>
  </si>
  <si>
    <t>No reason to believe sources from DRC or covered countries | Russia, China, Recycled/Scrap, USA, Japan, Mexico, China | Russian Federation, China</t>
  </si>
  <si>
    <t>Hiratsuka, Kanagawa</t>
  </si>
  <si>
    <t>recycled | Not Disclosed per LBMA | RCOI confirmed as per RMI. | Recycled | Not disclosed per LBMA | 0 | recycled | Not disclosed, Recycled | Recycled grain gold refined by Tanaka Kikinzoku Kogyo K.K</t>
  </si>
  <si>
    <t>recycled | RCOI Confirmed as per CSFI | RCOI confirmed as per RMI. | Does not source from DRC or covered countries | Japan, Recycled/Scrap, Singapore, China, USA, Uzbekistan, United Kingdom, Malaysia, Bolivia, Switzerland, Canada, Belgium, Mexico, South Africa, Chile, Australia, Indonesia, Brazil | Recycled | Recycled etc. | Not disclosed per LBMA | Does not source from DRC or covered countries | Singapore, Hong Kong, United States, Japan, Uzbekistan, United Kingdom, Malaysia, Bolivia, Switzerland, Canada, Belgium, China, South Africa, Mexico, Australia, Chile, Indonesia | 0  | Known Countries from which LBMA Good Delivery List Refiners Source - Mined  Material (Provided by LBMA) | Not disclosed, Scrap &amp; Recycled. | LBMA Good Delivery Sourcing based on RMAP-RMI's RCOI data | No | Excludes Covered Countries</t>
  </si>
  <si>
    <t>Saijo, Wehime</t>
  </si>
  <si>
    <t>Wehime</t>
  </si>
  <si>
    <t>recycled | Not Disclosed per LBMA | RCOI confirmed as per RMI. | Hishikari | Recycled | Hishikari Mine; Shizhuyuan Mine | Hishikari Mine | Not disclosed per LBMA | Hishikari Mine | 0 | Japan
recycled | Recycled, From Pogo Mine Morenci Mine Candelaria Mine Cerro Verde Mine Ojos del Salado Copper Mine Batu Hijau Mine Northparkes Mine Hishikari Mine | Not disclosed | From Morenci, Cerro Verde, Sierra Gorda, Candelaria, Ojos del Salado, Hishikari | Japan
recycled</t>
  </si>
  <si>
    <t>recycled | RCOI Confirmed as per CSFI | RCOI confirmed as per RMI. | Does not source from DRC or covered countries | Japan, Australia, Recycled/Scrap, USA, Chile | Japan | Recycled | recycled
Japan | CHINA; JAPAN; UNKNOWN | Japan
recycled | Not disclosed per LBMA | Japan recycled | Does not source from DRC or covered countries | United States, Japan, Philippines, Chile, Australia, Indonesia | 0 | No | Known Countries from which LBMA Good Delivery List Refiners Source - Mined  Material (Provided by LBMA) | Not disclosed | From United States, Peru, Chile, Japan | No</t>
  </si>
  <si>
    <t>Tainan City, Tainan</t>
  </si>
  <si>
    <t>Recycled &amp; Scrap | RCOI confirmed as per RMI. | recycled | a. Tainan City, Taiwan | Recycled | Not disclosed per LBMA | 0 | Solartech gold refinery</t>
  </si>
  <si>
    <t>Taiwan, HK | RCOI confirmed as per RMI. | Does not source from DRC or covered countries | Recycled/Scrap, China, Myanmar, Cambodia, Malaysia, Kazakhstan, Portugal, Austria, Mongolia, Luxembourg, Brazil, Republic Of Korea, Guyana, Chile, Laos, Colombia, Ecuador, Argentina, Hungary, Japan, India, Canada, Belgium, Namibia, Peru, Germany, Ethiopia | recycled | TAIWAN; UNKNOWN | Recycled etc. | Not disclosed per LBMA | Does not source from DRC or covered countries | Myanmar, Cambodia, Malaysia, Kazakhstan, Portugal, Austria, Mongolia, Luxembourg, Korea, Republic of, Guyana, Brazil, Chile, Laos, Colombia, Ecuador, Argentina, Hungary, Japan, India | Known Countries from which LBMA Good Delivery List Refiners Source - Mined  Material (Provided by LBMA) | Mineral sourcing R/S | China</t>
  </si>
  <si>
    <t>Shyolkovo, Moskovskaja oblast'</t>
  </si>
  <si>
    <t>RCOI confirmed as per RMI. | Does not source from DRC or covered countries | Russia, China, Germany, Indonesia, USA, Recycled/Scrap | Does not source from DRC or covered countries | Russian Federation, Taiwan, Germany | 0 | Known Countries from which LBMA Good Delivery List Refiners Source - Mined  Material (Provided by LBMA) | LBMA Good Delivery Sourcing based on RMAP-RMI's RCOI data | Recycled/Scrap Only</t>
  </si>
  <si>
    <t>RCOI confirmed as per RMI. | Not disclosed per LBMA | 0 | Not disclosed by supplier</t>
  </si>
  <si>
    <t>RCOI confirmed as per RMI. | No reason to believe sources from DRC or covered countries | China, Recycled/Scrap | Not disclosed per LBMA | No reason to believe sources from DRC or covered countries | No known country of origin | 0 | Known Countries from which LBMA Good Delivery List Refiners Source - Mined  Material (Provided by LBMA) | LBMA Good Delivery Sourcing based on RMAP-RMI's RCOI data</t>
  </si>
  <si>
    <t>Zhaoyuan, Shandong Sheng</t>
  </si>
  <si>
    <t>RCOI confirmed as per RMI. | Jinchiling Gold Mine; Jin Chi Ling Gold Mine; Not disclosed; Dayigezhuang Gold Mine, Jinchiling Gold Mine, Xiadian Gold Mine, Hedong Gold Mine, Jintingling Gold Mine and Chanzhuang;From Jinchiling  Gold Mine,Kantfort,Roshan gold,Zhaoyuan gold wing ridge g | Not disclosed per LBMA | 0 | From Jinchiling  Gold Mine,Kantfort,Roshan gold,Zhaoyuan gold wing ridge gold mine | No recycled | From Jinchiling  Gold Mine | Shandong Zhaojin Gold &amp; Silver Refinery Co Ltd</t>
  </si>
  <si>
    <t>RCOI confirmed as per RMI. | Does not source from DRC or covered countries | USA, China, Japan, Recycled/Scrap | Shandong Zhaoyuan City Shengtai Road 108 | CHINA; UNKNOWN | China | Not disclosed per LBMA | No reason to believe sources from DRC or covered countries | United States, China, Japan | 0 | Known Countries from which LBMA Good Delivery List Refiners Source - Mined  Material (Provided by LBMA) | No recycled | From China | Excludes Covered Countries</t>
  </si>
  <si>
    <t>No reason to believe sources from DRC or covered countries | China, Russia, Spain, Indonesia | Russian Federation</t>
  </si>
  <si>
    <t>Madrid, Madrid, Comunidad de</t>
  </si>
  <si>
    <t>Not Disclosed per LBMA | RCOI confirmed as per RMI. | scrap from local market | Not disclosed per LBMA | 0 | Scrap or recycled | Recycled, scrap | Recycled and Scrap</t>
  </si>
  <si>
    <t>RCOI Confirmed as per CSFI | RCOI confirmed as per RMI. | Does not source from DRC or covered countries | Myanmar, Cambodia, Malaysia, Kazakhstan, Portugal, Austria, Mongolia, Luxembourg, Guyana, Republic Of Korea, Brazil, Chile, Laos, Ecuador, Colombia, Argentina, Hungary, Japan, India, Canada, Belgium, Namibia, China, Peru, Germany, Ethiopia, Russia, Singap | The Netherlands | Not disclosed per LBMA | Does not source from DRC or covered countries | Spain | 0 | Mineral sourcing not disclosed per LBMA, Scrap or recycled | Known Countries from which LBMA Good Delivery List Refiners Source - Mined  Material (Provided by LBMA) | Mineral sourcing R/S | Recycled/Scrap Only</t>
  </si>
  <si>
    <t>SAMWON METALS Corp.</t>
  </si>
  <si>
    <t>Changwon,Gyeongsangnam-do</t>
  </si>
  <si>
    <t>Does not source from DRC or covered countries | Canada, Sweden, China, Republic Of Korea, Australia, Recycled/Scrap, Indonesia</t>
  </si>
  <si>
    <t>Namdong, Incheon-gwangyeoksi</t>
  </si>
  <si>
    <t>Recyled/Scrap | 0 | Recycled, scrap | Recycled, Scrap</t>
  </si>
  <si>
    <t>Recyled/Scrap | No reason to believe sources from DRC or covered countries | Republic Of Korea, Recycled/Scrap, USA, Japan, Rwanda, Sierra Leone, Bolivia, Thailand, India, Canada, Mozambique, Namibia, China, Brazil, Zimbabwe, Australia, Germany, Ethiopia, Indonesia | Recycled/Scrap Only | Does not source from DRC or covered countries | United States, Japan, Rwanda, Sierra Leone, Thailand, Bolivia, India, Canada, Mozambique, China, Namibia, Korea, Republic of, Brazil, Zimbabwe, Australia, Ethiopia, Germany | 0 | Recycled/Scrap Only | R/S | Mineral sourcing R/S</t>
  </si>
  <si>
    <t>Williston,North Dakota</t>
  </si>
  <si>
    <t>Does not source from DRC or covered countries | Canada, Russia, USA, China, Brazil, Mexico, Portugal, Recycled/Scrap, Thailand | Canada, Russian Federation, United States, China, Brazil, Mexico, Portugal</t>
  </si>
  <si>
    <t>Ottawa, Ontario</t>
  </si>
  <si>
    <t>Not Disclosed per LBMA | RCOI confirmed as per RMI. | TMAC Resources' mine, Meadowbank mine; Recycled | Recycled | 0 | From various mines, scrap recyclers | Recycled, Scrap and mines | NA | Various mines not disclosed by supplier, scrap and recyclers | Recycled</t>
  </si>
  <si>
    <t>RCOI Confirmed as per CSFI | RCOI confirmed as per RMI. | Does not source from DRC or covered countries | Canada, Recycled/Scrap, Suriname, Guyana, Switzerland, Chile, Germany, Peru, USA, Mexico, Japan, China | CANADA; UNKNOWN | Canada recycled | Does not source from DRC or covered countries | Canada, United States, Japan, Guyana, Mexico, Suriname, Chile, Peru, Switzerland, Germany | 0 | Mineral sourcing not disclosed per LBMA, Canada, Suriname, Guyana, and recycled and scrap | Known Countries from which LBMA Good Delivery List Refiners Source - Mined  Material (Provided by LBMA) | CANADA | Mineral sourcing not disclosed per LBMA RG | Recycled | Excludes Covered Countries</t>
  </si>
  <si>
    <t>Germiston, Gauteng</t>
  </si>
  <si>
    <t>RCOI confirmed as per RMI. | Rand Refinery (Pty) Ltd; Rand Refinery (Pty) Ltd;M | Not disclosed per LBMA | 0 | Not disclosed by supplier</t>
  </si>
  <si>
    <t>RCOI confirmed as per RMI. | Reason to believe sources from the DRC or covered countries | DRC or an adjoining country (Covered Countries), Papua New Guinea, China, Philippines, Tanzania, Ghana, Malaysia, Switzerland, Canada, Austria, Mozambique, Mali, Namibia, South Africa, USA, Australia, Germany, Belgium, Brazil, Recycled/Scrap | SOUTH AFRICA; UNKNOWN | Not disclosed per LBMA | DRC- Congo (Kinshasa), Papua New Guinea, Hong Kong, Guinea, Philippines, Tanzania, Ghana, Malaysia, Switzerland, Canada, Austria, Mozambique, Mali, Namibia, China, South Africa, Jersey, Australia, Germany | 0 | Known Countries from which LBMA Good Delivery List Refiners Source - Mined  Material (Provided by LBMA) | LBMA Good Delivery Sourcing based on RMAP-RMI's RCOI data | Includes Covered Countries</t>
  </si>
  <si>
    <t>La Chaux-de-Fonds, Neuchâtel</t>
  </si>
  <si>
    <t>RCOI confirmed as per RMI. | Not disclosed per LBMA | 0 | Not disclosed by supplier | Dynacor plant in Chala, Peru</t>
  </si>
  <si>
    <t>RCOI confirmed as per RMI. | Does not source from DRC or covered countries | Canada, Mozambique, Australia, Switzerland, Peru, Recycled/Scrap, Brazil, Ethiopia, China, Russia, Indonesia | Not disclosed per LBMA | No reason to believe sources from DRC or covered countries | Canada, Mozambique, Australia, Switzerland | 0 | Mineral sourcing not disclosed per LBMA, Not disclosed by supplier | Known Countries from which LBMA Good Delivery List Refiners Source - Mined  Material (Provided by LBMA) | LBMA Good Delivery Sourcing based on RMAP-RMI's RCOI data | confidential</t>
  </si>
  <si>
    <t>Jakarta, Jakarta Raya</t>
  </si>
  <si>
    <t>RCOI confirmed as per RMI. | Not disclosed per LBMA | 0 | Sawahlunto, Muaraenim and Samarinda. | Not disclosed by supplier</t>
  </si>
  <si>
    <t>RCOI confirmed as per RMI. | Does not source from DRC or covered countries | Canada, Brazil, Malaysia, Australia, Bolivia, Chile, Switzerland, Peru, Ethiopia, Germany, Indonesia, Recycled/Scrap, China, Russia, South Africa, USA | Not disclosed per LBMA | Does not source from DRC or covered countries | Canada, Brazil, Malaysia, Australia, Bolivia, Chile, Switzerland, Peru, Germany, Ethiopia, Indonesia | 0 | Known Countries from which LBMA Good Delivery List Refiners Source - Mined  Material (Provided by LBMA) | LBMA Good Delivery Sourcing based on RMAP-RMI's RCOI data | Excludes Covered Countries</t>
  </si>
  <si>
    <t>Kasimov, Ryazanskaya oblast'</t>
  </si>
  <si>
    <t>RCOI confirmed as per RMI. | No reason to believe sources from DRC or covered countries | RussiaSiberian And Far Eastern Regions, Russia, Japan, Rwanda, Sierra Leone, Bolivia, India, Canada, Mozambique, Namibia, China, Brazil, Zimbabwe, Australia, Ethiopia, Germany, Indonesia, Recycled/Scrap | Not disclosed per LBMA | No reason to believe sources from DRC or covered countries | Russian Federation, Japan, Rwanda, Sierra Leone, Bolivia, India, Canada, Mozambique, Namibia, China, Brazil, Zimbabwe, Australia, Ethiopia, Germany | 0 | Ryazan | Known Countries from which LBMA Good Delivery List Refiners Source - Mined  Material (Provided by LBMA) | LBMA Good Delivery Sourcing based on RMAP-RMI's RCOI data</t>
  </si>
  <si>
    <t>Penglai, Shandong Sheng</t>
  </si>
  <si>
    <t>No reason to believe sources from DRC or covered countries | China, Recycled/Scrap | China</t>
  </si>
  <si>
    <t>Castel San Pietro, Ticino</t>
  </si>
  <si>
    <t>RCOI confirmed as per RMI. | PAMP SA | 0 | Burkina Faso | Recycled and mines, not disclosed by supplier</t>
  </si>
  <si>
    <t>RCOI confirmed as per RMI. | Sources from DRC or covered countries | Brazil, Canada, China, USA, Japan, Mexico, South Africa, United Kingdom, Australia, Switzerland, Indonesia, DRC or an adjoining country (Covered Countries), Recycled/Scrap, Dominican Republic, Ecuador, Ghana, Guinea, Liberia, Malaysia, Mauritania, Peru, A | UNKNOWN; SWITZERLAND | Sources from DRC or covered countries | Canada, Hong Kong, United States, China, Japan, Mexico, South Africa, United Kingdom, Australia, Switzerland, Indonesia | 0 | Known Countries from which LBMA Good Delivery List Refiners Source - Mined  Material (Provided by LBMA) | Mineral sourcing R/S and Mines | Includes Covered Countries</t>
  </si>
  <si>
    <t>Krasnoyarsk, Krasnoyarskiy kray</t>
  </si>
  <si>
    <t>RCOI confirmed as per RMI. | Not disclosed per LBMA | 0 | Not disclosed by supplier | Amur Region; Chelyabinsk Region; Chukotka Autonomous Area;Irkutsk Region;Khabarovsk Territory;Krasnoyarsk Territory;Magadan Region; Novosibirsk Region;Republic of Sakha (Yakutia) (Aldan, Neryungri, settlement Ust-Nera);Sverdlovsk Region;Trans-Baikal Terri</t>
  </si>
  <si>
    <t>RCOI confirmed as per RMI. | Does not source from DRC or covered countries | Brazil, Indonesia, Russia, Recycled/Scrap, Germany, Japan | Not disclosed per LBMA | Does not source from DRC or covered countries | Russian Federation | 0 | Krasnoyarsk Krai | Known Countries from which LBMA Good Delivery List Refiners Source - Mined  Material (Provided by LBMA) | LBMA Good Delivery Sourcing based on RMAP-RMI's RCOI data</t>
  </si>
  <si>
    <t>Nara-shi, Nara</t>
  </si>
  <si>
    <t>Recyled/Scrap | Recycled, Scrap | 0 | Not disclosed by supplier | Recycled, scrap | Recycled, Scrap</t>
  </si>
  <si>
    <t>Recyled/Scrap | Does not source from DRC or covered countries | Recycled/Scrap, Myanmar, Cambodia, Malaysia, Kazakhstan, Portugal, Austria, Mongolia, Luxembourg, Republic Of Korea, Guyana, Brazil, Chile, Laos, Colombia, Ecuador, Argentina, Hungary, Japan, India, Canada, Belgium, Namibia, China, South Africa, Peru, Ger | Recycled, Scrap | Does not source from DRC or covered countries | Myanmar, Cambodia, Malaysia, Kazakhstan, Portugal, Mongolia, Austria, Luxembourg, Guyana, Brazil, Korea, Republic of, Chile, Laos, Colombia, Ecuador, Argentina, Hungary, Japan, India, Canad | Mineral sourcing L1, Not disclosed by supplier | Known Countries from which LBMA Good Delivery List Refiners Source - Recycled Material (Provided by LBMA) | Mineral sourcing R/S | No | Recycled/Scrap Only</t>
  </si>
  <si>
    <t>Noda, Chiba</t>
  </si>
  <si>
    <t>recycled | RCOI Confirmed as per CSFI | RCOI confirmed as per RMI. | Recycled | Hishikari Mine | recycled | Not disclosed per LBMA | 0 | Recycled, scrap | Not disclosed, Scrap &amp; recycled. | Recycled and scrap</t>
  </si>
  <si>
    <t>recycled | RCOI Confirmed as per CSFI | RCOI confirmed as per RMI. | No reason to believe sources from DRC or covered countries | Japan, Recycled/Scrap, China, DRC or an adjoining country (Covered Countries), Niger, Rwanda, Malaysia, Bolivia, Thailand, Switzerland, Portugal, Spain, Canada, Mozambique, Brazil, Australia, Chile, Nigeria, Peru, Indonesia | Recycled | Japan | RCOI confirmed as per CFSI | Not disclosed per LBMA | Does not source from DRC or covered countries | DRC- Congo (Kinshasa), Niger, Japan, Rwanda, Malaysia, Bolivia, Thailand, Portugal, Switzerland, Spain, Canada, Mozambique, China, Brazil, Nigeria, Austr | Mineral sourcing L1, R/S, Recycled | Known Countries from which LBMA Good Delivery List Refiners Source - Mined  Material (Provided by LBMA) | Not disclosed. | Mineral sourcing R/S | Yes | Recycled/Scrap Only</t>
  </si>
  <si>
    <t>Navoi, Navoiy</t>
  </si>
  <si>
    <t>Not disclosed by supplier</t>
  </si>
  <si>
    <t>Does not source from DRC or covered countries | Recycled/Scrap, USA, China, Uzbekistan, Indonesia | United States, China, Uzbekistan, Indonesia | Mineral sourcing not disclosed per LBMA RG</t>
  </si>
  <si>
    <t>Bahçelievler, İstanbul</t>
  </si>
  <si>
    <t>RCOI confirmed as per RMI. | Not disclosed per LBMA | 0 | Ram | Not disclosed by supplier</t>
  </si>
  <si>
    <t>RCOI confirmed as per RMI. | Does not source from DRC or covered countries | Saudi Arabia, Turkey, United Arab Emirates, China, Recycled/Scrap, Kazakhstan, Japan, Russia | Not disclosed per LBMA | Does not source from DRC or covered countries | Saudi Arabia, Turkey, United Arab Emirates | 0 | Known Countries from which LBMA Good Delivery List Refiners Source - Mined  Material (Provided by LBMA) | LBMA Good Delivery Sourcing based on RMAP-RMI's RCOI data</t>
  </si>
  <si>
    <t>Obrucheva, Moskva</t>
  </si>
  <si>
    <t>RCOI confirmed as per RMI. | Not disclosed per LBMA | 0 | Not disclosed by supplier | Not disclosed per supplier</t>
  </si>
  <si>
    <t>RCOI confirmed as per RMI. | Does not source from DRC or covered countries | Russia, China, Bolivia, Recycled/Scrap, Chile, Australia, Canada, Japan, Peru, Chile, Indonesia, New Zealand, Saudi Arabia, Turkey, United Arab Emirates, USA, Uzbekistan | Not disclosed per LBMA | Does not source from DRC or covered countries | Russian Federation, China, Bolivia | 0 | Known Countries from which LBMA Good Delivery List Refiners Source - Mined  Material (Provided by LBMA) | LBMA Good Delivery Sourcing based on RMAP-RMI's RCOI data</t>
  </si>
  <si>
    <t>Takehara, Hiroshima</t>
  </si>
  <si>
    <t>recycled | Not Disclosed per LMBA | RCOI confirmed as per RMI. | Recycled | Cadia Hill | 0 | Australia
recycled | Recycled, From Los Pelambres Mine, Collahuasi Mine, Escondida Mine, Cadia Hill &amp; Ridgeway Mines | From Collahuasi, Los Pelambres, Escondida, Collahuasi | Australia
recycled</t>
  </si>
  <si>
    <t>recycled | RCOI Confirmed as per CSFI | RCOI confirmed as per RMI. | Does not source from DRC or covered countries | Recycled/Scrap, Japan, Australia, Canada | Recycled | JAPAN; UNKNOWN | Australia
recycled | Does not source from DRC or covered countries | Canada, China, Japan, Australia | 0 | No | Known Countries from which LBMA Good Delivery List Refiners Source - Mined  Material (Provided by LBMA) | Not disclosed. | From Chile and Australia | No | Excludes Covered Countries</t>
  </si>
  <si>
    <t>Tokyo, Tokyo</t>
  </si>
  <si>
    <t>recycled | Not Disclosed per LMBA | RCOI confirmed as per RMI. | scrap | Recycled | Cadia Hill | Huckleberry Mine Copper Mountain Mine Escondida Mine Los Pelambres Mine Batu Hijau Mine | Not disclosed per LBMA | 0 | Canada
recycled | Nondisclosure | V and from Huckleberry Mine Copper Mountain Mine Escondida Mine Los Pelambres Mine Batu Hijau Mine | Huckleberry. Recycled. | From Copper Mountain, Escondida, Los Pelambres | Canada
recycled</t>
  </si>
  <si>
    <t>recycled | RCOI Confirmed as per CSFI | RCOI confirmed as per RMI. | Does not source from DRC or covered countries | Australia, Peru, Russia, United Kingdom, Japan, Canada, Recycled/Scrap, Mexico, China, Papua New Guinea, Indonesia, Mongolia, Austria, Mozambique, DRC or an adjoining country (Covered Countries), Chile | scrap | Recycled | Australia | CANADA; JAPAN; UNKNOWN | Not disclosed per LBMA | Does not source from DRC or covered countries | Canada, Papua New Guinea, Austria, Mongolia, Mozambique, Hong Kong, Japan, United Kingdom, Congo (Brazzaville), Chile | 0 | No | Nondisclosure | Known Countries from which LBMA Good Delivery List Refiners Source - Mined  Material (Provided by LBMA) | Not disclosed. | From Canada, Chile | No</t>
  </si>
  <si>
    <t>Torreon, Coahuila de Zaragoza</t>
  </si>
  <si>
    <t>RCOI confirmed as per RMI. | Bismark,  Maple, Sabi s,  Tizapa, Velardeña, Madero, Parreña; | Not disclosed per LBMA | 0 | Recycled | Bismark,  Maple, Sabinas,  
Tizapa, Velardeña.jpg
Velardeña
Madero, Parreña | Not disclosed by supplier</t>
  </si>
  <si>
    <t>RCOI confirmed as per RMI. | Does not source from DRC or covered countries | China, Mexico, USA, Recycled/Scrap, Japan, Canada, Peru | UNITED STATES OF AMERICA; UNKNOWN; MEXICO | Not disclosed per LBMA | Does not source from DRC or covered countries | China, Mexico | 0 | Not disclosed per LBMA | Known Countries from which LBMA Good Delivery List Refiners Source - Mined  Material (Provided by LBMA) | LBMA Good Delivery Sourcing based on RMAP-RMI's RCOI data | Excludes Covered Countries</t>
  </si>
  <si>
    <t>North Attleboro, Massachusetts</t>
  </si>
  <si>
    <t>RCOI confirmed as per RMI. | NA | Not disclosed per RJC/LBMA | Mining, recycled and scrap sources | Recycled | 0 | Recycled | Scrap | Recycled, Scrap and mines | recycled and scrap | Mining, recycled and scrap sources | Mining, recycled and scrap sources not disclosed by supplier</t>
  </si>
  <si>
    <t>RCOI confirmed as per RMI. | Does not source from DRC or covered countries | Canada, USA, China, Mexico, Switzerland, Brazil, Recycled/Scrap, Japan, Boliva | UNITED STATES; UNITED STATES OF AMERICA; UNKNOWN | Not disclosed per RJC/LBMA | Mining, recycled and scrap sources | Does not source from DRC or covered countries | Recycled | Canada, United States, China, Mexico, Switzerland | 0 | Mineral sourcing not disclosed per RJC, Recycled | Known Countries from which LBMA Good Delivery List Refiners Source - Mined  Material (Provided by LBMA) | recycled and scrap | Mining, recycled and scrap sources | LBMA Good Delivery Sourcing and RJC Sourcing, Scrap &amp; Recycled | Recycled | Excludes Covered Countries</t>
  </si>
  <si>
    <t>Marin, Neuchâtel</t>
  </si>
  <si>
    <t>Not Disclosed per RJC | RCOI confirmed as per RMI. | Huckleberry | Unknown; Metalor Technologies SA; Recycled | Recycled and scrap sourced | Recycled | Recycle | 0 | Recycled and scrap sourced | Recycled or scrap, More than 80% of gold source coming from recycle &amp; scrap. | Recycled, Scrap and mines, from congagold ore | SWITZERLAND | Mining, recycled and scrap sources not disclosed by supplier | Recycled and Scrap</t>
  </si>
  <si>
    <t>RCOI Confirmed as per CSFI | RCOI confirmed as per RMI. | Does not source from DRC or covered countries | Ivory Coast, Recycled/Scrap, Switzerland, Canada, Sweden, China, Belgium, USA, United Kingdom, Indonesia, Angola, Burundi, DRC or an adjoining country (Covered Countries), Rwanda, England, Peru | Canada | SWITZERLAND; UNKNOWN | Recycled and scrap sourced | Recycled etc. | Switzerland | Recycle | Does not source from DRC or covered countries | Canada, Sweden, Belgium, Hong Kong, United States, China, United Kingdom, Ivory Coast, Switzerland, Indonesia | 0 | Yes | Mineral sourcing not disclosed per RJC, Countries other than Democratic Republic of the Congo and the nine countries which with it shares an internationally recognized border: Angola, Burundi, Central African Republic, Republic of the Congo, Rwanda, South | Known Countries from which LBMA Good Delivery List Refiners Source - Mined  Material (Provided by LBMA) | SWITZERLAND | LBMA Good Delivery Sourcing and RJC Sourcing, Scrap &amp; Recycled | Recycled and Scrap | Yes | Excludes Covered Countries</t>
  </si>
  <si>
    <t>Singapore, South West</t>
  </si>
  <si>
    <t>From Mining, recycled and scrap sources
From congagold ore
From Metalor Technologies (Singapore) Pte., Ltd. | RCOI confirmed as per RMI. | Not disclosed per RJC/LBMA | Mining, recycled and scrap sources | 0 | Recycled, Scrap and mines, from congagold ore | Recycled and scrap sourced | Mining, recycled and scrap sources not disclosed by supplier</t>
  </si>
  <si>
    <t>Mineral sourcing not disclosed per RJC, L1, R/S, Peru | RCOI confirmed as per RMI. | Does not source from DRC or covered countries | Singapore, China, Switzerland, Recycled/Scrap, Peru, Indonesia | Not coverd countries area | Not disclosed per RJC/LBMA | Not coverd countries area | Mining, recycled and scrap sources | Does not source from DRC or covered countries | Singapore, China, Switzerland | 0 | Known Countries from which LBMA Good Delivery List Refiners Source - Mined  Material (Provided by LBMA) | LBMA Good Delivery Sourcing and RJC Sourcing, Scrap &amp; Recycled | Excludes Covered Countries</t>
  </si>
  <si>
    <t>Kwai Chung, Hong Kong SAR</t>
  </si>
  <si>
    <t>Not Disclosed per RJC | RCOI confirmed as per RMI. | Metalor Technologies（Hong Kong）Ltd; Mining, recycled and scrap sources From congagold ore From Metalor Technologies (Hong Kong) Ltd.; / | Mining, recycled and scrap sources | Not disclosed per RJC/LBMA | 0 | RECYCLED | From Metalor Technologies (Hong Kong) | Recycled, Scrap and mines, from congagold ore | Mining, recycled and scrap sources | Recycled and scrap, and from congagold ore</t>
  </si>
  <si>
    <t>RCOI Confirmed as per CSFI | RCOI confirmed as per RMI. | Does not source from DRC or covered countries | China, USA, Japan, Australia, Peru, Switzerland, Recycled/Scrap, Switzerland | CHINA; UNKNOWN; HONG KONG | Mining, recycled and scrap sources | Not disclosed per RJC/LBMA | Does not source from DRC or covered countries | Hong Kong, United States, China, Japan, Australia, Switzerland, Peru | 0 | RECYCLED | Mineral sourcing not disclosed per RJC, Not disclosed by  supplier | Known Countries from which LBMA Good Delivery List Refiners Source - Mined  Material (Provided by LBMA) | Mining, recycled and scrap sources | From Peru | Excludes Covered Countries</t>
  </si>
  <si>
    <t>Suzhou Industrial Park, Jiangsu Sheng</t>
  </si>
  <si>
    <t>Suzhou Industrial Park</t>
  </si>
  <si>
    <t>Shanghai Exchange Market | RCOI confirmed as per RMI. | NA; China | Recycled, Scrap | Mining, recycled and scrap sources | Not disclosed per RJC | 0 | Recycled, Scrap and mines | Mining, recycled and scrap sources</t>
  </si>
  <si>
    <t>Shanghai | RCOI confirmed as per RMI. | Does not source from DRC or covered countries | China, South Africa, Recycled/Scrap, Brazil, Switzerland, Singapore, Indonesia, Russia | CHINA; SINGAPORE; UNKNOWN | Recycled, Scrap | Mining, recycled and scrap sources | Not disclosed per RJC | Does not source from DRC or covered countries | China, South Africa | 0 | R/S (RJC RCOI data) | Mineral sourcing not disclosed per RJC/LBMA RG | Excludes Covered Countries</t>
  </si>
  <si>
    <t>Iruma, Saitama</t>
  </si>
  <si>
    <t>recycled | Not Disclosed per LBMA | RCOI confirmed as per RMI. | scrap | Recycled | Not disclosed per LBMA | recycled | 0 | Recycled, scrap | Not disclosed, Scrap &amp; Recycled | Recycled or scrap</t>
  </si>
  <si>
    <t>recycled | RCOI Confirmed as per CSFI | RCOI confirmed as per RMI. | Does not source from DRC or covered countries | Japan, Australia, Canada, Recycled/Scrap, China, USA, United Kingdom, Indonesia, Myanmar, Cambodia, Malaysia, Kazakhstan, Portugal, Austria, Mongolia, Luxembourg, Republic Of Korea, Guyana, Brazil, Chile, Laos, Ecuador, Colombia, Argentina, Hungary, India | scrap | Recycled | Not disclosed per LBMA | RCOI confirmed as per CFSI | Does not source from DRC or covered countries | Canada, Hong Kong, United States, China, Japan, United Kingdom, Australia, Indonesia | 0 | Yes | Known Countries from which LBMA Good Delivery List Refiners Source - Mined  Material (Provided by LBMA) | Not disclosed, Scrap &amp; Recycled | Mineral sourcing R/S | Yes | Excludes Covered Countries</t>
  </si>
  <si>
    <t>Buffalo, New York</t>
  </si>
  <si>
    <t>Some are recycled/scrap sourced but not all. | Some are recycled or scrap sourced but not all. | 0 | Recycled and scrap | Recycled, scrap | Some are recycled or scrap sourced but not all.</t>
  </si>
  <si>
    <t>Some are recycled/scrap sourced but not all. | Does not source from DRC or covered countries | Recycled/Scrap, USA, Myanmar, Cambodia, Malaysia, Kazakhstan, Portugal, Austria, Mongolia, Luxembourg, Brazil, Guyana, Republic Of Korea, Chile, Laos, Colombia, Ecuador, Argentina, Hungary, Japan, India, Canada, Belgium, Namibia, China, Peru, Ethiopia, Ge | Some are recycled or scrap sourced but not all. | Does not source from DRC or covered countries | Myanmar, Cambodia, Malaysia, Kazakhstan, Portugal, Austria, Mongolia, Luxembourg, Brazil, Korea, Republic of, Guyana, Chile, Laos, Ecuador, Colombia, Argenti | Mineral sourcing L1, R/S, Recycled and scrap, USA | L1, R/S | Mineral sourcing L1, R/S based on RMAP-RMI's RCOI data</t>
  </si>
  <si>
    <t>Luoyang, Henan Sheng</t>
  </si>
  <si>
    <t>No reason to believe sources from DRC or covered countries | China, Republic Of Korea, China, Recycled/Scrap, USA | China</t>
  </si>
  <si>
    <t>Onsan-eup, Ulsan-gwangyeoksi</t>
  </si>
  <si>
    <t>Not Disclosed per LBMA | RCOI confirmed as per RMI. | Escondida, Andia, Cuquicamata, Vale; Andia, Chuquicamata; From Escondida, Andia, Cuquicamata, Vale.; Codelco; Vale | Recycled | Not disclosed per LBMA | Recycled | 0 | From Escondida, Andia, Cuquicamata, Vale | From Escondida, Andia, Cuquicamata,Vale | Vale | From Vale,Escondida, Andia, Cuquicamata</t>
  </si>
  <si>
    <t>RCOI Confirmed as per CSFI | RCOI confirmed as per RMI. | Does not source from DRC or covered countries | Republic Of Korea, Brazil, Chile, Recycled/Scrap, Singapore, China, USA, Japan, Kazakhstan, India, Mexico, South Africa, Australia, Peru, Indonesia, DRC or an adjoining country (Covered Countries), Thailand | UNKNOWN; CHILE; BRAZIL | Recycled etc. | Not disclosed per LBMA | Recycled etc. | Does not source from DRC or covered countries | Singapore, Hong Kong, United States, Japan, Kazakhstan, India, China, Brazil, Korea, Republic of, Mexico, South Africa, Chile, Australia, Peru, Indonesia | 0 | Mineral sourcing not disclosed per LBMA, Chile, Brazil | Known Countries from which LBMA Good Delivery List Refiners Source - Mined  Material (Provided by LBMA) | Brazil | From Brazil</t>
  </si>
  <si>
    <t>Lingbao, Henan Sheng</t>
  </si>
  <si>
    <t>No reason to believe sources from DRC or covered countries | Recycled/Scrap, China, China | China</t>
  </si>
  <si>
    <t>No reason to believe sources from DRC or covered countries | Recycled/Scrap, China, Saudi Arabia, China | China</t>
  </si>
  <si>
    <t>Riyadh,Ar Riyāḑ</t>
  </si>
  <si>
    <t>Does not source from DRC or covered countries | Saudi Arabia, Canada, Japan, China, Australia, Egypt, Recycled/Scrap</t>
  </si>
  <si>
    <t>Bishkek, Chüy</t>
  </si>
  <si>
    <t>RCOI confirmed as per RMI. | Not disclosed per LBMA | 0 | Combine Makmalzoloto;The Salton-Sary mine;The Terexay mine; Refinery ; | Not disclosed by supplier</t>
  </si>
  <si>
    <t>RCOI confirmed as per RMI. | Does not source from DRC or covered countries | Brazil, Australia, Kyrgyzstan, Republic Of Korea, Recycled/Scrap, Japan | Not disclosed per LBMA | Does not source from DRC or covered countries | Brazil, Australia, Kyrgyzstan | 0 | Known Countries from which LBMA Good Delivery List Refiners Source - Mined  Material (Provided by LBMA) | LBMA Good Delivery Sourcing based on RMAP-RMI's RCOI data | Excludes Covered Countries</t>
  </si>
  <si>
    <t>Sayama, Saitama</t>
  </si>
  <si>
    <t>recycled | Some are recycled/scrap sourced but not all. | Recycled | recycled | Some are recycled or scrap sourced but not all. | 0 | Some are recycled or scrap sourced but not all. | Recycled, Scrap and mines | Not disclosed, Recycled</t>
  </si>
  <si>
    <t>recycled | Some are recycled/scrap sourced but not all. | Does not source from DRC or covered countries | Myanmar, Cambodia, Malaysia, Kazakhstan, Portugal, Mongolia, Austria, Luxembourg, Republic Of Korea, Brazil, Guyana, Chile, Laos, Ecuador, Colombia, Argentina, Hungary, Japan, India, Canada, Belgium, Namibia, China, Peru, Germany, Ethiopia, Russia, Vietna | Excludes Covered Countries | JAPAN; UNKNOWN | Recycled | recycled | Some are recycled or scrap sourced but not all. | Does not source from DRC or covered countries | Myanmar, Cambodia, Malaysia, Kazakhstan, Portugal, Austria, Mongolia, Luxembourg, Guyana, Korea, Republic of, Brazil, Chile, Laos, Colombia, Ecuad | Saitama | L1, R/S | Not disclosed, Recycled | Mineral sourcing L1, R/S based on RMAP-RMI's RCOI data | Yes</t>
  </si>
  <si>
    <t>Magna, Utah</t>
  </si>
  <si>
    <t>RCOI confirmed as per RMI. | Does not source from DRC or covered countries | USA, China, DRC or an adjoining country (Covered Countries), Myanmar, Cambodia, Malaysia, Kazakhstan, Portugal, Mongolia, Austria, Luxembourg, Brazil, Republic Of Korea, Guyana, Chile, Laos, Colombia, Ecuador, Argentina, Hungary, Japan, India, Canada, Bel | CHINA; UNKNOWN | Not disclosed per LBMA | Does not source from DRC or covered countries | United States, China | 0 | Not disclosed per RJC | Known Countries from which LBMA Good Delivery List Refiners Source - Mined  Material (Provided by LBMA) | LBMA Good Delivery Sourcing based on RMAP-RMI's RCOI data | Excludes Covered Countries</t>
  </si>
  <si>
    <t>Ust-Kamenogorsk, Qaraghandy oblysy</t>
  </si>
  <si>
    <t>RCOI confirmed as per RMI. | Does not source from DRC or covered countries | Japan, China, Australia, Kazakhstan, Peru, Switzerland, Brazil, Chile, Recycled/Scrap, Indonesia, Republic Of Korea, Singapore | Not disclosed per LBMA | Does not source from DRC or covered countries | China, Japan, Taiwan, Kazakhstan, Australia, Peru, Switzerland | 0 | L1, R/S | Known Countries from which LBMA Good Delivery List Refiners Source - Mined  Material (Provided by LBMA) | LBMA Good Delivery Sourcing based on RMAP-RMI's RCOI data | Excludes Covered Countries</t>
  </si>
  <si>
    <t>Balkhash,Qaraghandy oblysy</t>
  </si>
  <si>
    <t>Does not source from DRC or covered countries | Kazakhstan, Kyrgyzstan, China, Japan | Kazakhstan, Kyrgyzstan</t>
  </si>
  <si>
    <t>Ōita, Ôita</t>
  </si>
  <si>
    <t>ōita</t>
  </si>
  <si>
    <t>Not Disclosed per LBMA | RCOI confirmed as per RMI. | Los Pelambres Mine | Recycled | Cadia | Not disclosed per LBMA | Cadia | 0 | Australia
recycled | Recycled, Scrap and mines, from Cadia, Los Pelambres Mine,Caserones | Los Pelambres Mine
Cadia | From various mines:
Los Pelambres Mine
Collahuasi Mine
Escondida Mine
Cadia Hill &amp; Ridgeway Mines | Australia
recycled</t>
  </si>
  <si>
    <t>RCOI Confirmed as per CSFI | RCOI confirmed as per RMI. | Does not source from DRC or covered countries | Recycled/Scrap, Japan, Australia, Canada, Chile, Saudi Arabia, China, United Kingdom, Indonesia, England | Chile | Recycled | recycled | Australia
recycled | Not disclosed per LBMA | Australia recycled | Does not source from DRC or covered countries | Saudi Arabia, Taiwan, United Kingdom, Chile, Indonesia | 0 | No | Known Countries from which LBMA Good Delivery List Refiners Source - Mined  Material (Provided by LBMA) | Chile, Brazil. | From Chili and Australia | No | Excludes Covered Countries</t>
  </si>
  <si>
    <t>Verkhnyaya Pyshma, Sverdlovskaya oblast'</t>
  </si>
  <si>
    <t>RCOI confirmed as per RMI. | Not disclosed per LBMA | 0 | Not disclosed by supplier | Verkhnyaya Pyshma, Sverdlovsk region</t>
  </si>
  <si>
    <t>RCOI confirmed as per RMI. | Does not source from DRC or covered countries | Russia, China, Brazil, Australia, Switzerland, Recycled/Scrap | Not disclosed per LBMA | Russian Federation, Taiwan, Brazil, Australia, Switzerland | 0 | Not disclosed per RJC | Known Countries from which LBMA Good Delivery List Refiners Source - Mined  Material (Provided by LBMA) | LBMA Good Delivery Sourcing based on RMAP-RMI's RCOI data | Excludes Covered Countries</t>
  </si>
  <si>
    <t>Verkhnyaya Pyshma,Sverdlovskaya oblast'</t>
  </si>
  <si>
    <t>No reason to believe sources from DRC or covered countries | Canada, Russia, Japan, Australia, Recycled/Scrap</t>
  </si>
  <si>
    <t>Brampton, Ontario</t>
  </si>
  <si>
    <t>RCOI confirmed as per RMI. | Johnson Matthey Canada | Not disclosed per LBMA | 0 | Recycled | Not disclosed by supplier | Scrap</t>
  </si>
  <si>
    <t>RCOI confirmed as per RMI. | Does not source from DRC or covered countries | Canada, Recycled/Scrap, Japan, Australia, Italy, China, Peru | CANADA; JAPAN; UNKNOWN | Not disclosed per LBMA | Does not source from DRC or covered countries | Canada, Japan, Australia | 0 | Mineral sourcing not disclosed per LBMA, Recycled | Known Countries from which LBMA Good Delivery List Refiners Source - Mined  Material (Provided by LBMA) | LBMA Good Delivery Sourcing based on RMAP-RMI's RCOI data | Scrap</t>
  </si>
  <si>
    <t>Salt Lake City, Utah</t>
  </si>
  <si>
    <t>RCOI confirmed as per RMI. | Johnson Matthey Inc | Recycled | Not disclosed per LBMA | 0 | Recycled, Scrap and mines | Not  disclosed by supplier</t>
  </si>
  <si>
    <t>RCOI confirmed as per RMI. | Does not source from DRC or covered countries | Recycled/Scrap, USA, Canada, China, Uzbekistan, Bermuda, Malaysia, Australia, Chile, Peru, Indonesia | UNITED STATES; UNKNOWN | Recycled etc. | Not disclosed per LBMA | Does not source from DRC or covered countries | 0 | Not disclosed per LBMA | Known Countries from which LBMA Good Delivery List Refiners Source - Mined  Material (Provided by LBMA) | LBMA Good Delivery Sourcing based on RMAP-RMI's RCOI data</t>
  </si>
  <si>
    <t>Guixi City, Jiangxi Sheng</t>
  </si>
  <si>
    <t>RCOI confirmed as per RMI. | Not disclosed per LBMA | 0 | Zou Zongwei from Dexing Copper Mine | Not disclosed by supplier</t>
  </si>
  <si>
    <t>RCOI confirmed as per RMI. | No reason to believe sources from DRC or covered countries | USA, China, Japan, Rwanda, Chile, Peru, Albania, Afghanistan, Canada, Recycled/Scrap, Spain | Not disclosed per LBMA | No reason to believe sources from DRC or covered countries | United States, China, Japan, Rwanda, Chile | 0 | Known Countries from which LBMA Good Delivery List Refiners Source - Mined  Material (Provided by LBMA) | LBMA Good Delivery Sourcing based on RMAP-RMI's RCOI data</t>
  </si>
  <si>
    <t>Osaka, Osaka</t>
  </si>
  <si>
    <t>RCOI confirmed as per RMI. | Not disclosed per LBMA | 0 | Saitama; Hiroshima | Not disclosed by supplier</t>
  </si>
  <si>
    <t>RCOI confirmed as per RMI. | Does not source from DRC or covered countries | Japan, Italy, Mexico, Australia, Recycled/Scrap, Republic Of Korea | Not disclosed per LBMA | Does not source from DRC or covered countries | Japan, Mexico, Italy, Australia | 0 | Known Countries from which LBMA Good Delivery List Refiners Source - Mined  Material (Provided by LBMA) | LBMA Good Delivery Sourcing based on RMAP-RMI's RCOI data | Recycled/Scrap Only</t>
  </si>
  <si>
    <t>Kuyumcukent, İstanbul</t>
  </si>
  <si>
    <t>RCOI confirmed as per RMI. | Not disclosed per LBMA | 0 | Not disclosed by supplier | Not disclosed per LBMA | Not  disclosed by supplier</t>
  </si>
  <si>
    <t>RCOI confirmed as per RMI. | Does not source from DRC or covered countries | Turkey, Canada | TURKEY; UNKNOWN | Not disclosed per LBMA | Does not source from DRC or covered countries | Turkey | 0 | Mineral sourcing not disclosed per LBMA, Not disclosed by supplier | Known Countries from which LBMA Good Delivery List Refiners Source - Mined  Material (Provided by LBMA) | Mineral sourcing not disclosed per LBMA RG | Excludes Covered Countries</t>
  </si>
  <si>
    <t>Soka, Saitama</t>
  </si>
  <si>
    <t>recycled | RCOI confirmed as per RMI. | Recycled | Cadia | 0 | From Hishikari Mine, Cerro Verde Mine,Candelaria Mine,Northparkes Mine,Batu Hijiau Mine,Morenci Mine | Not disclosed, Recycled</t>
  </si>
  <si>
    <t>recycled | RCOI confirmed as per RMI. | Does not source from DRC or covered countries | Recycled/Scrap, Canada, USA, China, Japan, Australia, Peru, Chile, Indonesia, Mineral Sourcing L1 Japan | Recycled | Australia | Recycled etc. | Does not source from DRC or covered countries | Canada, United States, China, Japan, Australia | 0 | Mineral sourcing not disclosed per LBMA, Recycled | Known Countries from which LBMA Good Delivery List Refiners Source - Mined  Material (Provided by LBMA) | Chile, Australia. Recycled. | LBMA Good Delivery Sourcing based on RMAP-RMI's RCOI data, and Mineral sourcing R/S | Excludes Covered Countries</t>
  </si>
  <si>
    <t>Hohhot, Nei Mongol Zizhiqu</t>
  </si>
  <si>
    <t>RCOI confirmed as per RMI. | Not disclosed per LBMA | 0 | Hunan gold mine | Not disclosed by supplier</t>
  </si>
  <si>
    <t>RCOI confirmed as per RMI. | No reason to believe sources from DRC or covered countries | Recycled/Scrap, Indonesia, China, Mongolia, Mexico, Republic Of Korea, Canada | Not disclosed per LBMA | No reason to believe sources from DRC or covered countries | Mongolia, China, Mexico | 0 | Known Countries from which LBMA Good Delivery List Refiners Source - Mined  Material (Provided by LBMA) | LBMA Good Delivery Sourcing based on RMAP-RMI's RCOI data</t>
  </si>
  <si>
    <t>HwaSeong CJ Co., Ltd.</t>
  </si>
  <si>
    <t>Danwon,Gyeonggi-do</t>
  </si>
  <si>
    <t>Does not source from DRC or covered countries | Canada, China, USA, Japan, Republic Of Korea, Mexico, Australia, Recycled/Scrap, South Africa</t>
  </si>
  <si>
    <t>Chenzhou, Hunan Sheng</t>
  </si>
  <si>
    <t>No reason to believe sources from DRC or covered countries | China, USA, Japan, Rwanda, Chile | No known country of origin</t>
  </si>
  <si>
    <t>Yuanling, Hunan Sheng</t>
  </si>
  <si>
    <t>No reason to believe sources from DRC or covered countries | China | Canada, Mozambique, China, Australia, Switzerland</t>
  </si>
  <si>
    <t>Hanau, Hessen</t>
  </si>
  <si>
    <t>Not disclosed per LBMA | 0 | Recycled, scrap | Not disclosed by supplier</t>
  </si>
  <si>
    <t>Does not source from DRC or covered countries | Chile, Germany, Recycled/Scrap, Switzerland, USA, China, India, South Africa, Malaysia, Peru, Australia, Boliva | Not disclosed per LBMA | Does not source from DRC or covered countries | Hong Kong, United States, Malaysia, United Arab Emirates, Bolivia, Switzerland, Saudi Arabia, Turkey, China, Jersey, Australia, Chile, Peru, Germany | 0 | Known Countries from which LBMA Good Delivery List Refiners Source - Mined  Material (Provided by LBMA) | LBMA Good Delivery Sourcing based on RMAP-RMI's RCOI data, and Mineral sourcing R/S | Excludes Covered Countries</t>
  </si>
  <si>
    <t>Fanling, Hong Kong SAR</t>
  </si>
  <si>
    <t>recycled | Not Disclosed per LBMA | Heraeus Ltd. Hong Kong | RCOI confirmed as per RMI. | RECYCLED; Philippine associated smelting &amp; Refining corporation; Heraeus Ltd. Hong Kong | Recycled | Not disclosed per LBMA | recycled and scrap | 0 | RECYCLED | Various mines + recycled + scrap | recycled and scrap | Recycled, Scrap and mines (Philippine associated smelting &amp; Refining )</t>
  </si>
  <si>
    <t>recycled | RCOI Confirmed as per CSFI | CHINA | RCOI confirmed as per RMI. | Does not source from DRC or covered countries | Singapore, Vietnam, China, Japan, Philippines, Malaysia, Thailand, Switzerland, Canada, Mozambique, South Africa, Australia, France, Laos, Peru, Germany, USA, Chile, Recycled/Scrap, Mongolia, Austria, Mexico | PHILIPPINES; CHINA; UNKNOWN | Recycled etc. | Not disclosed per LBMA | RCOI confirmed as per CFSI | recycled and scrap | Does not source from DRC or covered countries | Singapore, Viet Nam, Hong Kong, Japan, Philippines, Malaysia, Thailand, Switzerland, Canada, Mozambique, China, Taiwan, South Africa | RECYCLED | Known Countries from which LBMA Good Delivery List Refiners Source - Mined  Material (Provided by LBMA) | recycled and scrap | LBMA Good Delivery Sourcing and RJC Sourcing, from various mines from Philippines, Thailand, Laos and Mineral sourcing R/S | Excludes Covered Countries</t>
  </si>
  <si>
    <t>Pforzheim, Baden-Württemberg</t>
  </si>
  <si>
    <t>RCOI confirmed as per RMI. | recycled, scrap | Not disclosed per LBMA | 0 | Recycled, Scrap and mines | Not disclosed by supplier</t>
  </si>
  <si>
    <t>RCOI confirmed as per RMI. | Does not source from DRC or covered countries | Germany, Recycled/Scrap, China, Philippines, Malaysia, Canada, Austria, Mongolia, Mozambique, Mexico, South Africa, USA, Australia, Turkey, Italy | SINGAPORE; UNKNOWN | recycled, scrap | Not disclosed per LBMA | Does not source from DRC or covered countries | Recycle/Scrap, Hong Kong, Philippines, Malaysia, Canada, Mongolia, Austria, Mozambique, China, South Africa, Mexico, Jersey, Australia, Germany | 0 | Known Countries from which LBMA Good Delivery List Refiners Source - Mined  Material (Provided by LBMA) | LBMA Good Delivery Sourcing</t>
  </si>
  <si>
    <t>Seo-gu, Incheon-gwangyeoksi</t>
  </si>
  <si>
    <t>Some are recyled/scrap sourced but not all. | Some are recycled or scrap sourced but not all. | 0 | Recycled, Scrap and mines | Some are recycled or scrap sourced but not all.</t>
  </si>
  <si>
    <t>Some are recyled/scrap sourced but not all. | Does not source from DRC or covered countries | Canada, China, USA, Japan, United Kingdom, Mexico, South Africa, Australia, Switzerland, Indonesia, Republic Of Korea, Recycled/Scrap | Excludes Covered Countries | Some are recycled or scrap sourced but not all. | Does not source from DRC or covered countries | No known country of origin | 0 | Excludes Covered Countries | L1, R/S | Mineral sourcing L1, R/S based on RMAP-RMI's RCOI data</t>
  </si>
  <si>
    <t>Fuyang, Zhejiang Sheng</t>
  </si>
  <si>
    <t>No reason to believe sources from DRC or covered countries | China, Republic Of Korea, Japan, Recycled/Scrap | China, Korea, Republic of</t>
  </si>
  <si>
    <t>No reason to believe sources from DRC or covered countries | China, Recycled/Scrap, Indonesia, Uzbekistan | CHINA; UNKNOWN | China</t>
  </si>
  <si>
    <t>Lanzhou, Gansu Sheng</t>
  </si>
  <si>
    <t>No reason to believe sources from DRC or covered countries | China</t>
  </si>
  <si>
    <t>Novosibirsk, Novosibirskaya oblast'</t>
  </si>
  <si>
    <t>RCOI confirmed as per RMI. | Not disclosed per LBMA | 0 | Novosibirsk | Not disclosed by supplier</t>
  </si>
  <si>
    <t>RCOI confirmed as per RMI. | Does not source from DRC or covered countries | Canada, Russia, China, Philippines, Brazil, Italy, Malaysia, Bolivia, Switzerland, Peru, Recycled/Scrap, Indonesia, Japan, Austria, USA, DRC or an adjoining country (Covered Countries) | Not disclosed per LBMA | No reason to believe sources from DRC or covered countries | Canada, Russian Federation, Philippines, China, Brazil, Italy, Malaysia, Bolivia, Peru, Switzerland | 0 | Known Countries from which LBMA Good Delivery List Refiners Source - Mined  Material (Provided by LBMA) | LBMA Good Delivery Sourcing based on RMAP-RMI's RCOI data</t>
  </si>
  <si>
    <t>Honjo, Saitama</t>
  </si>
  <si>
    <t>Recyled/Scrap | Recycled | Recycled | Some are recycled or scrap sourced but not all. | 0 | Recycled, Scrap | Recycled, Scrap and mines</t>
  </si>
  <si>
    <t>Recyled/Scrap | Does not source from DRC or covered countries | Recycled/Scrap | Recycled | Recycled | Some are recycled or scrap sourced but not all. | Does not source from DRC or covered countries | 0 | Mineral sourcing R/S, Recycled | Known Countries from which LBMA Good Delivery List Refiners Source - Recycled Material (Provided by LBMA) | Mineral sourcing R/S</t>
  </si>
  <si>
    <t>Kosaka, Akita</t>
  </si>
  <si>
    <t>Huckleberry | Some are recyled/scrap sourced but not all. | www.responsiblemineralsinitiative.org | Recycled | Huckleberry | 0 | Canada
recycled | Recycled, from Huckleberry | Recycled, Scrap, from Huckleberry | Recycled, Scrap, mines from Huckleberry | Canada
recycled</t>
  </si>
  <si>
    <t>Canada
recycled | Some are recyled/scrap sourced but not all. | Does not source from DRC or covered countries | Recycled/Scrap, Canada, Japan, Australia, Mexico | Excludes Covered Countries | Canada | Recycled | Canada recycled | Does not source from DRC or covered countries | 0 | No | Excludes Covered Countries | Mineral sourcing L1, R/S, Canada, recycled | L1, R/S | Scrap &amp; Recycled. | Mineral sourcing L1,R/S | No</t>
  </si>
  <si>
    <t>Recyled/Scrap | Some are recycled or scrap sourced but not all. | 0 | Recycled, Scrap and mines | Recycled, Scrap</t>
  </si>
  <si>
    <t>Recyled/Scrap | Does not source from DRC or covered countries | Recycled/Scrap, Canada, China, USA, Japan, Chile, Australia, Peru, Germany, Brazil, Indonesia | Some are recycled or scrap sourced but not all. | Does not source from DRC or covered countries | Recycle/Scrap, Canada, Hong Kong, United States, Japan, China, Chile, Australia, Peru, Germany | 0 | Known Countries from which LBMA Good Delivery List Refiners Source - Recycled Material (Provided by LBMA) | Mineral sourcing R/S | Recycled/Scrap Only</t>
  </si>
  <si>
    <t>Gimpo, Gyeonggi-do</t>
  </si>
  <si>
    <t>Recyled/Scrap | Does not source from DRC or covered countries | Recycled/Scrap, Republic Of Korea, Brazil, South Africa, Australia, Republic Of Korea, Japan, Kazakhstan, China, Russia, Saudi Arabia | Recycled/Scrap Only | Recycled, Scrap | No reason to believe sources from DRC or covered countries | 0 | Recycled/Scrap Only | R/S | Mineral sourcing R/S</t>
  </si>
  <si>
    <t>Huangshi, Hubei Sheng</t>
  </si>
  <si>
    <t>Does not source from DRC or covered countries | Singapore, China, USA, Japan, Uzbekistan, United Kingdom, Malaysia, Switzerland, Canada, Belgium, Mexico, South Africa, Australia, Chile | Excludes Covered Countries | Singapore, Hong Kong, United States, Japan, Uzbekistan, United Kingdom, Malaysia, Switzerland, Canada, Belgium, China, South Africa, Mexico, Chile, Australia | Excludes Covered Countries</t>
  </si>
  <si>
    <t>Chiyoda, Tokyo</t>
  </si>
  <si>
    <t>Some are recyled/scrap sourced but not all. | Does not source from DRC or covered countries | Canada, USA, Japan, Australia, Chile, Peru, Indonesia, Recycled/Scrap, Germany, Turkey | Excludes Covered Countries | Does not source from DRC or covered countries | Canada, United States, Japan, Australia, Chile, Peru, Indonesia | 0 | Excludes Covered Countries | R/S, LR | Mineral sourcing R/S, LR, some are recycled or scrap sourced but not all.</t>
  </si>
  <si>
    <t>RCOI confirmed as per RMI. | Scrap | Not disclosed per LBMA | 0 | Not disclosed by supplier</t>
  </si>
  <si>
    <t>RCOI confirmed as per RMI. | Does not source from DRC or covered countries | Italy, Recycled/Scrap, Turkey, Mexico, Australia, Switzerland, Republic Of Korea | ITALY; UNKNOWN | Not disclosed per LBMA | Does not source from DRC or covered countries | Recycle/Scrap, Turkey, Mexico, Italy, Australia | 0 | Known Countries from which LBMA Good Delivery List Refiners Source - Mined  Material (Provided by LBMA) | LBMA Good Delivery Sourcing based on RMAP-RMI's RCOI data</t>
  </si>
  <si>
    <t>Kunming, Yunnan Sheng</t>
  </si>
  <si>
    <t>No reason to believe sources from DRC or covered countries | Canada, China, Chile, Recycled/Scrap, Japan | Canada, China, Chile</t>
  </si>
  <si>
    <t>Biel-Bienne, Bern</t>
  </si>
  <si>
    <t>RCOI confirmed as per RMI. | Not disclosed per RJC | Recycled, Scrap | 0 | Recycled, Scrap</t>
  </si>
  <si>
    <t>RCOI confirmed as per RMI. | Does not source from DRC or covered countries | Recycled/Scrap, Australia, Switzerland, Germany, Canada | Not disclosed per RJC | Recycled, Scrap | Does not source from DRC or covered countries | Recycle/Scrap, Australia, Switzerland, Germany | 0 | R/S (RJC RCOI data) | Mineral sourcing R/S | Recycled/Scrap Only</t>
  </si>
  <si>
    <t>Montréal, Quebec</t>
  </si>
  <si>
    <t>RCOI confirmed as per RMI. | Reason to believe sources from the DRC or covered countries | Recycled/Scrap, Canada, Chile, Peru, USA, China, Japan, Brazil, Australia, Germany, DRC or an adjoining country (Covered Countries), Argentina, Zambia, Switzerland, Indonesia, Boliva | Not disclosed per LBMA | 0 | Known Countries from which LBMA Good Delivery List Refiners Source - Mined  Material (Provided by LBMA) | LBMA Good Delivery Sourcing based on RMAP-RMI's RCOI data</t>
  </si>
  <si>
    <t>Nacozari,Sonora</t>
  </si>
  <si>
    <t>Does not source from DRC or covered countries | Chile, Mexico, China, Japan, Republic Of Korea, Bolivia,  Germany, Recycled/Scrap</t>
  </si>
  <si>
    <t>RCOI confirmed as per RMI. | Not disclosed per RJC/LBMA | Not disclosed per RJC | 0 | Recycled, Scrap | Not disclosed by supplier</t>
  </si>
  <si>
    <t>RCOI confirmed as per RMI. | Does not source from DRC or covered countries | Canada, Sweden, Ireland, China, Finland, Indonesia, Recycled/Scrap, Japan, Brazil, Chile, Australia, Peru, Germany, Mexico, Thailand, Russia | Not disclosed per RJC/LBMA | Not disclosed per RJC | Does not source from DRC or covered countries | 0 | Known Countries from which LBMA Good Delivery List Refiners Source - Mined  Material (Provided by LBMA) | LBMA Good Delivery Sourcing based on RMAP-RMI's RCOI data | Recycled/Scrap Only</t>
  </si>
  <si>
    <t>Skelleftehamn, Västerbottens län [SE-24]</t>
  </si>
  <si>
    <t>RCOI confirmed as per RMI. | Does not source from DRC or covered countries | Sweden, Canada, Philippines, China, Brazil, Italy, Indonesia, Ireland, Finland, Recycled/Scrap, Japan | Not disclosed per LBMA | Does not source from DRC or covered countries | 0 | Mineral sourcing not disclosed per LBMA, Not disclosed by supplier | Known Countries from which LBMA Good Delivery List Refiners Source - Mined  Material (Provided by LBMA) | LBMA Good Delivery Sourcing based on RMAP-RMI's RCOI data | Excludes Covered Countries</t>
  </si>
  <si>
    <t>Quezon City, Rizal</t>
  </si>
  <si>
    <t>RCOI confirmed as per RMI. | Not disclosed per LBMA | 0 | Various mines + recycled + scrap | Not disclosed by supplier</t>
  </si>
  <si>
    <t>RCOI confirmed as per RMI. | No reason to believe sources from DRC or covered countries | Italy, Philippines, Canada, China, Brazil, Indonesia, Recycled/Scrap, USA, Japan, Germany, India, Peru | ITALY; UNKNOWN | Not disclosed per LBMA | Does not source from DRC or covered countries | Canada, Philippines, China, Brazil, Italy, Indonesia | 0 | Known Countries from which LBMA Good Delivery List Refiners Source - Mined  Material (Provided by LBMA) | LBMA Good Delivery Sourcing based on RMAP-RMI's RCOI data | Excludes Covered Countries</t>
  </si>
  <si>
    <t>Hamburg, Hamburg</t>
  </si>
  <si>
    <t>RCOI confirmed as per RMI. | Does not source from DRC or covered countries | Canada, China, USA, Uzbekistan, Malaysia, Bermuda, Australia, Chile, Peru, Indonesia, Brazil, Bulgaria, Recycled/Scrap, Japan, Germany, Germany, Turkey, Republic Of Korea, DRC or an adjoining country (Covered Countries) | GERMANY; UNKNOWN; BRAZIL | Not disclosed per LBMA | Does not source from DRC or covered countries | 0 | Mineral sourcing not disclosed per LBMA, Not disclosed by supplier | Known Countries from which LBMA Good Delivery List Refiners Source - Mined  Material (Provided by LBMA) | LBMA Good Delivery Sourcing based on RMAP-RMI's RCOI data</t>
  </si>
  <si>
    <t>Istanbul,İstanbul</t>
  </si>
  <si>
    <t>No reason to believe sources from DRC or covered countries | Turkey, Brazil, Australia, Indonesia, Republic Of Korea, Recycled/Scrap, USA</t>
  </si>
  <si>
    <t>Tamura, Fukushima</t>
  </si>
  <si>
    <t>RCOI Confirmed as per CSFI | Recyled/Scrap | scrap | Asaka Riken Co., Ltd. | Recycled | scrap | Some are recycled or scrap sourced but not all. | Recycled | 0 | recycled | Recycled, Scrap | Not disclosed</t>
  </si>
  <si>
    <t>RCOI Confirmed as per CSFI | Recyled/Scrap | Does not source from DRC or covered countries | Recycled/Scrap, Japan, DRC or an adjoining country (Covered Countries), Myanmar, Angola, Cambodia, Malaysia, Kazakhstan, Portugal, Mongolia, Austria, Mozambique, Luxembourg, Brazil, Guyana, Republic Of Korea, Chile, Laos, Ecuador, Colombia, Argentina, Hun | Excludes Covered Countries | scrap | JAPAN; UNITED STATES OF AMERICA; UNKNOWN | Recycled | RCOI confirmed as per CFSI | Some are recycled or scrap sourced but not all. | Recycled | Does not source from DRC or covered countries | 0 | Excludes Covered Countries | R/S | L1, R/S | Not disclosed | Mineral sourcing R/S | Recycled/Scrap Only</t>
  </si>
  <si>
    <t>Kobe, Hyogo, Japan</t>
  </si>
  <si>
    <t>recycled | RCOI Confirmed as per CSFI | RCOI confirmed as per RMI. | scrap | Recycled | recycled | 0 | Recycled, Scrap | Not disclosed. | Recycled or Scrap</t>
  </si>
  <si>
    <t>recycled | RCOI Confirmed as per CSFI | RCOI confirmed as per RMI. | Does not source from DRC or covered countries | Recycled/Scrap, Brazil, United Kingdom, Indonesia, Papua New Guinea, Australia, Argentina, Chile, Peru, Canada, Japan, USA, China, Germany, Switzerland | scrap | Recycled | JAPAN; UNKNOWN | Recycled | Does not source from DRC or covered countries | 0 | Known Countries from which LBMA Good Delivery List Refiners Source - Mined  Material (Provided by LBMA) | Not disclosed. | Mineral sourcing R/S</t>
  </si>
  <si>
    <t>Mendrisio, Ticino</t>
  </si>
  <si>
    <t>Not Disclosed per LBMA | RCOI confirmed as per RMI. | Mendrisio; Argor-Heraeus SA; Mendriso; Recycled | Recycled and scrap sourced | Recycled | Not disclosed per RJC | Not disclosed per LBMA | 0 | Recycled and scrap sourced | recycled or scrap | Ticino | Undisclosed mine, Recycled or scrap.</t>
  </si>
  <si>
    <t>RCOI Confirmed as per CSFI | RCOI confirmed as per RMI. | Sources from DRC or covered countries | Recycled/Scrap, Switzerland, Argentina, Singapore, China, Philippines, South Africa, Chile, Indonesia, Canada, Philippines, Mongolia, Sweden | SWITZERLAND; UNKNOWN | Recycled and scrap sourced | Recycled etc. | Not disclosed per RJC | Not disclosed per LBMA | Argentina, Singapore, Hong Kong, Philippines, China, South Africa, Chile, Switzerland, Indonesia | 0 | Yes | Known Countries from which LBMA Good Delivery List Refiners Source - Mined  Material (Provided by LBMA) | SWITZERLAND | Mine located in Sweden. Recycled or scrap | Yes | confidential</t>
  </si>
  <si>
    <t>Nova Lima, Minas Gerais</t>
  </si>
  <si>
    <t>RCOI confirmed as per RMI. | 0; Cuiabá and Lamego mines, Córrego do Sítio (Mina I, Mina II),  Serra Grande (Mina III and Mina Nova) | 0 | Not disclosed by supplier</t>
  </si>
  <si>
    <t>RCOI confirmed as per RMI. | Does not source from DRC or covered countries | Brazil, South Africa, Australia, Recycled/Scrap, Bolivia, Uzbekistan | UNKNOWN; BRAZIL | Does not source from DRC or covered countries | Brazil, South Africa, Australia | 0 | Known Countries from which LBMA Good Delivery List Refiners Source - Mined  Material (Provided by LBMA) | Mineral sourcing not disclosed per LBMA RG | Excludes Covered Countries</t>
  </si>
  <si>
    <t>Almalyk, Toshkent</t>
  </si>
  <si>
    <t>RCOI confirmed as per RMI. | Does not source from DRC or covered countries | DRC or an adjoining country (Covered Countries), Argentina, USA, Japan, Uzbekistan, Zambia, Switzerland, Canada, China, Brazil, Mexico, Chile, Australia, Peru, Germany, Brazil, Recycled/Scrap, Indonesia, Philippines | Not disclosed per LBMA | Does not source from DRC or covered countries | DRC- Congo (Kinshasa), Argentina, United States, Japan, Uzbekistan, Zambia, Switzerland, Canada, China, Brazil, Mexico, Chile, Australia, Peru, Germany | 0 | Known Countries from which LBMA Good Delivery List Refiners Source - Mined  Material (Provided by LBMA) | LBMA Good Delivery Sourcing based on RMAP-RMI's RCOI data | Excludes Covered Countries</t>
  </si>
  <si>
    <t>RCOI confirmed as per RMI. | Agosi Ag | Not disclosed per RJC | Not disclosed per RJC/LBMA | 0 | Not disclosed by supplier | Recycled, Scrap</t>
  </si>
  <si>
    <t>RCOI confirmed as per RMI. | Does not source from DRC or covered countries | Recycled/Scrap, Germany, Laos, Nigeria, Sierra Leone, Thailand, Philippines, Brazil, Japan, China | GERMANY; UNKNOWN | Not disclosed per RJC | Not disclosed per RJC/LBMA | Does not source from DRC or covered countries | 0 | Not disclosed per RJC | Known Countries from which LBMA Good Delivery List Refiners Source - Mined  Material (Provided by LBMA) | Mineral sourcing not disclosed per RJC/LBMA RG | Recycled/Scrap Only</t>
  </si>
  <si>
    <t>Fuchu, Tokyo</t>
  </si>
  <si>
    <t>RCOI Confirmed as per CSFI | Recyled/Scrap | scrap | Not disclosed; Recycled | Recycled | recycled | Recycled, Scrap | 0 | Recycled, Scrap | Some are recycled or scrap sourced but not all. | Scrap</t>
  </si>
  <si>
    <t>RCOI Confirmed as per CSFI | Recyled/Scrap | Does not source from DRC or covered countries | Recycled/Scrap, Japan, Canada, Bolivia, Peru, Portugal, Spain, DRC or an adjoining country (Covered Countries), Australia, Indonesia | Recycled/Scrap Only | scrap | recycled | JAPAN; UNKNOWN | Recycled | RCOI confirmed as per CFSI | Recycled, Scrap | Does not source from DRC or covered countries | 0 | Recycled/Scrap Only | Mineral sourcing R/S, recycled | R/S | Not disclosed. | Mineral sourcing R/S</t>
  </si>
  <si>
    <t>Some are recyled/scrap sourced but not all. | Recycled, Scrap | 0 | Recycled, Scrap | Some are recycled or scrap sourced but not all.</t>
  </si>
  <si>
    <t>Some are recyled/scrap sourced but not all. | Does not source from DRC or covered countries | USA, Peru, Indonesia, Brazil, China, Recycled/Scrap, Chile | Excludes Covered Countries | Recycled, Scrap | Does not source from DRC or covered countries | 0 | Excludes Covered Countries | LR, R/S | Minerals sourcing from LR, R/S based on RMAP-RMI's RCOI data</t>
  </si>
  <si>
    <t>Bauer Walser AG</t>
  </si>
  <si>
    <t>KelternBaden-Württemberg</t>
  </si>
  <si>
    <t>Keltern</t>
  </si>
  <si>
    <t>Henan Yuguang Gold &amp; Lead Co., Ltd.</t>
  </si>
  <si>
    <t>No reason to believe sources from DRC or covered countries</t>
  </si>
  <si>
    <t>Jinlong Copper Co.,Ltd.</t>
  </si>
  <si>
    <t>K.A. Rasmussen</t>
  </si>
  <si>
    <t>Hamar, Hedmarken</t>
  </si>
  <si>
    <t>Hamar</t>
  </si>
  <si>
    <t>Hedmarken</t>
  </si>
  <si>
    <t>Shandong Yanggu Xiangguang Co. Ltd.</t>
  </si>
  <si>
    <t>YangguShandong</t>
  </si>
  <si>
    <t>Yanggu</t>
  </si>
  <si>
    <t>Shandong</t>
  </si>
  <si>
    <t>Shandong Zhongkuang Group Co.,Ltd.</t>
  </si>
  <si>
    <t>Shenzhen Zhonghenglong Real Industry Co., Ltd.</t>
  </si>
  <si>
    <t>Shenzhen, Guangdong</t>
  </si>
  <si>
    <t>Shenzhen</t>
  </si>
  <si>
    <t>Guangdong</t>
  </si>
  <si>
    <t>No reason to believe sources from DRC or covered countries | China | Due diligence results pending</t>
  </si>
  <si>
    <t>So Accurate Group, Inc.</t>
  </si>
  <si>
    <t>Long Island City,New York</t>
  </si>
  <si>
    <t>Long Island City</t>
  </si>
  <si>
    <t>Super Dragon Technology Co., Ltd.</t>
  </si>
  <si>
    <t>Does not source from DRC or covered countries</t>
  </si>
  <si>
    <t>Balin Dol, Gostivar</t>
  </si>
  <si>
    <t>Balin Dol</t>
  </si>
  <si>
    <t>covered countries | 0 | Sourced from cover countries | Sourced from covered countries.</t>
  </si>
  <si>
    <t>covered countries | Reason to believe sources from the DRC or covered countries | Includes Covered Countries | DRC or an adjoining country (Covered Countries) | Includes Covered Countries | No known country of origin | 0 | CC | Mineral sourcing CC based on RMAP-RMI's RCOI data</t>
  </si>
  <si>
    <t>Yi Chun City, Jiangxi Sheng</t>
  </si>
  <si>
    <t>Yi Chun City</t>
  </si>
  <si>
    <t>RCOI confirmed as per RMI. | 0 | Not disclosed by supplier | Some are sourced from covered countries or DRC but not all.</t>
  </si>
  <si>
    <t>RCOI confirmed as per RMI. | Does not source from DRC or covered countries | China, DRC or an adjoining country (Covered Countries), Recycled/Scrap, USA, Australia, Mozambique, Canada | Includes Covered Countries | No known country of origin | 0 | Includes Covered Countries | L1, CC, DRC | Mineral sourcing L1 based on RMAP-RMI's RCOI data</t>
  </si>
  <si>
    <t>São João Del Rei, Minas gerais</t>
  </si>
  <si>
    <t>São João Del Rei</t>
  </si>
  <si>
    <t>RCOI confirmed as per RMI. | Does not source from DRC or covered countries | Due diligence results pending | Excludes Covered Countries | Does not source from DRC or covered countries | No known country of origin | 0 | Excludes Covered Countries | LR | Mineral sourcing LR based on RMAP-RMI's RCOI data</t>
  </si>
  <si>
    <t>Aizuwakamatsu, Fukushima</t>
  </si>
  <si>
    <t>RCOI confirmed as per RMI. | Some are recycled, scrap, cover countries or DRC sourced but not all. | 0 | Recycled, Scrap and mines from Talison, Noventa, Tanco, proprietary | Recycled or Scrap | Recycled, Scrap and mines from Talison, Noventa</t>
  </si>
  <si>
    <t>RCOI confirmed as per RMI. | Does not source from DRC or covered countries | Argentina, Australia, Austria, Belgium, Bolivia, Brazil, Cambodia, Canada, Chile, China, Colombia, Ivory Coast, Czech Republic, Djibouti, Ecuador, Egypt, Estonia, Ethiopia, France, Germany, Guyana, Hungary, India, Indonesia, Ireland, Israel, Japan, Kazakh | Includes Covered Countries | Not coverd countries area | RCOI confirmed as per RMAP | Some are recycled, scrap, cover countries or DRC sourced but not all. | Does not source from DRC or covered countries | DRC- Congo (Kinshasa), Myanmar, Angola, Cambodia, Malaysia, Kazakhstan, Portugal, Austria, Mongolia, Luxem | the DRC or an adjoining country(covered countries) | LR, HR, CC, DRC, R/S | Recycled or Scrap | Mineral sourcing LR based on RMAP-RMI's RCOI data</t>
  </si>
  <si>
    <t>Boyertown, Pennsylvania</t>
  </si>
  <si>
    <t>Some are recycled/scrap, high risk countries, covered countries, and DRC sourced but not all. | Some are recycled, scrap, cover countries or DRC sourced but not all. | 0 | Recycled and scrap, From Talison, Noventa, Tanco, GAM | Gam,Talison, Noventa, Tanco, proprietary | From Talison, Noventa, Tanco, proprietary</t>
  </si>
  <si>
    <t>Some are recycled/scrap, high risk countries, covered countries, and DRC sourced but not all. | Sources from DRC or covered countries | Mozambique, Australia, Canada, Recycled/Scrap, DRC or an adjoining country (Covered Countries), Myanmar, Angola, Cambodia, Malaysia, Kazakhstan, Portugal, Mongolia, Austria, Luxembourg, Guyana, Brazil, Republic Of Korea, Chile, Laos, Ecuador, Colombia, Ar | Includes Covered Countries | DRC,Burundi,Rwanda | RCOI confirmed as per RMAP | Some are recycled, scrap, cover countries or DRC sourced but not all. | DRC- Congo (Kinshasa), Myanmar, Angola, Cambodia, Malaysia, Kazakhstan, Portugal, Austria, Mongolia, Mozambique, Luxembourg, Korea, Republic of, Brazil, G | the DRC or an adjoining country(covered countries) | LR, HR, CC, DRC, R/S | Australia, Mozambique, Canada, Covered Country | Mineral sourcing LR, HR, CC, DRC, R/S from Rwanda, DRC, Burundi, Mozambique, Brazil, Australia</t>
  </si>
  <si>
    <t>Laufenburg, Baden-Württemberg</t>
  </si>
  <si>
    <t>Some are recycled/scrap, high risk countries, covered countries, and DRC sourced but not all. | Some are recycled, scrap, cover countries or DRC sourced but not all. | 0 | Recycled, Scrap and mines | Raw material is sourced from multiple conflict-free mines globally. Industry standard traceability schemes and other information sources are utilzed. Names and locations of all mines are disclosed to the auditor during the CSI audit. | Some are recycled, scrap, covered countries or DRC sourced but not all.</t>
  </si>
  <si>
    <t>Some are recycled/scrap, high risk countries, covered countries, and DRC sourced but not all. | Reason to believe sources from the DRC or covered countries | Australia, Bolivia, Brazil, Burundi, DRC or an adjoining country (Covered Countries), Ethiopia, India, Mozambique, Namibia, Nigeria, Rwanda, Sierra Leone, Zimbabwe, Recycled/Scrap | Includes Covered Countries | RCOI confirmed as per RMAP | Some are recycled, scrap, cover countries or DRC sourced but not all. | DRC- Congo (Kinshasa), Myanmar, Cambodia, Malaysia, Kazakhstan, Portugal, Austria, Mongolia, Mozambique, Luxembourg, Guyana, Korea, Republic of, Brazil, C | the DRC or an adjoining country(covered countries) | LR, CC, DRC, HR, R/S | Australia, Bolivia, Brazil, Burundi, Democratic Republic of Congo, Ethiopia, India, Mozambique, Namibia, Nigeria, Rwanda, Sierra Leone, Zimbabwe | Mineral sourcing LR, CC, DRC, HR, R/S, from Australia, Bolivia, Brazil, Burundi, Democratic Republic of Congo, Ethiopia, India, Mozambique, Namibia, Nigeria, Rwanda, Sierra Leone, Zimbabwe</t>
  </si>
  <si>
    <t>Mito, Ibaraki</t>
  </si>
  <si>
    <t>Some are recyled/scrap sourced but not all. | Some are recycled, scrap, cover countries or DRC sourced but not all. | 0 | Not disclosed by supplier | Raw material is sourced from multiple conflict-free mines globally. Industry standard traceability schemes and other information sources are utilzed. Names and locations of all mines are disclosed to the auditor during the CSI audit. | Raw material is sourced from multiple conflict-free mines globally.</t>
  </si>
  <si>
    <t>Some are recyled/scrap sourced but not all. | Reason to believe sources from the DRC or covered countries | Australia, Bolivia, Brazil, Burundi, DRC or an adjoining country (Covered Countries), Ethiopia, India, Mozambique, Namibia, Nigeria, Rwanda, Sierra Leone, Zimbabwe,  Recycled/Scrap, Germany, China, Japan, Canada | Includes Covered Countries | RCOI confirmed as per RMAP | Some are recycled, scrap, cover countries or DRC sourced but not all. | Japan, Rwanda, Sierra Leone, Bolivia, India, Canada, Mozambique, China, Namibia, Brazil, Zimbabwe, Australia, Ethiopia, Germany | 0 | Includes Covered Cou | the DRC or an adjoining country(covered countries) | LR, CC, DRC, R/S | Australia, Bolivia, Brazil, Burundi, Democratic Republic of Congo, Ethiopia, India, Mozambique, Namibia, Nigeria, Rwanda, Sierra Leone, Zimbabwe | Mineral sourcing LR, R/S, Australia, Bolivia, Brazil, Burundi, Democratic Republic of Congo, Ethiopia, India, Mozambique, Namibia, Nigeria, Rwanda, Sierra Leone, Zimbabwe</t>
  </si>
  <si>
    <t>Newton, Massachusetts</t>
  </si>
  <si>
    <t>Some are recyled/scrap sourced but not all. | 0 | From Jiangxi Dajichan Tungsten Industry Ltd, Mibra, Kenticha,Talison. | Raw material is sourced from multiple conflict-free mines globally. Industry standard traceability schemes and other information sources are utilzed. Names and locations of all mines are disclosed to the auditor during the CSI audit. | Recycled and from various mines, Talison</t>
  </si>
  <si>
    <t>Some are recyled/scrap sourced but not all. | Reason to believe sources from the DRC or covered countries | Australia, Bolivia, Brazil, Ethiopia, India, Mozambique, Namibia, Rwanda, Sierra Leone, Zimbabwe, Burundi, Namibia, Nigeria, DRC or an adjoining country (Covered Countries), USA, Japan, Canada, China, Germany, Recycled/Scrap, Russia, Australia, Slovenia | Includes Covered Countries | Not coverd countries area | RCOI confirmed as per RMAP | Burundi, United States, Japan, Rwanda, Sierra Leone, Congo (Brazzaville), Bolivia, India, Canada, Mozambique, Namibia, China, Brazil, Zimbabwe, Nigeria, Australia, Germany, Ethiopia | 0 | Includes Covered Countries | the DRC or an adjoining country(covered countries) | L1, CC, DRC, R/S | Australia, Bolivia, Brazil, Burundi, Democratic Republic of Congo, Ethiopia, India, Mozambique, Namibia, Nigeria, Rwanda, Sierra Leone, Zimbabwe | Mineral sourcing LR, R/S, Australia, Bolivia, Brazil, Burundi, Democratic Republic of Congo, Ethiopia, India, Mozambique, Namibia, Nigeria, Rwanda, Sierra Leone, Zimbabwe</t>
  </si>
  <si>
    <t>Hermsdorf, Thüringen</t>
  </si>
  <si>
    <t>Some are recyled/scrap sourced but not all. | Some are recycled or scrap sourced but not all. | 0 | From Sites ENAG &amp; Rhina | Some are recycled or scrap sourced but not all.</t>
  </si>
  <si>
    <t>Some are recyled/scrap sourced but not all. | Reason to believe sources from the DRC or covered countries | Australia, Bolivia, Brazil, Burundi, DRC or an adjoining country (Covered Countries), Ethiopia, India, Mozambique, Namibia, Nigeria, Rwanda, Sierra Leone, Zimbabwe, Myanmar, Cambodia, Malaysia, Kazakhstan, Portugal, Austria, Mongolia, Luxembourg, Republic | Includes Covered Countries | Some are recycled or scrap sourced but not all. | DRC- Congo (Kinshasa), Myanmar, Cambodia, Malaysia, Kazakhstan, Portugal, Austria, Mongolia, Mozambique, Luxembourg, Korea, Republic of, Brazil, Guyana, Chile, Laos, Colombia, Ecuador, Argentina, Hungary,  | the DRC or an adjoining country(covered countries) | L1, R/S | L1 | Mineral sourcing LR, R/S based on RMAP-RMI's RCOI data</t>
  </si>
  <si>
    <t>Goslar, Niedersachsen</t>
  </si>
  <si>
    <t>Some are recycled/scrap, high risk countries, covered countries, and DRC sourced but not all. | Raw Materials are sourced from multiple conflict-free mines globally. Inustry standard traceability schemes and other information sources are utilized. Names and and locations of all mines are disclosed to HCS auditors during the RMI audits. | 0 | From Mibra, Kenticha | Raw material is sourced from multiple conflict-free mines globally. Industry standard traceability schemes and other information sources are utilzed. Names and locations of all mines are disclosed to the auditor during the CSI audit. | Recycled Materials, international supply base</t>
  </si>
  <si>
    <t>Some are recycled/scrap, high risk countries, covered countries, and DRC sourced but not all. | Reason to believe sources from the DRC or covered countries | DRC or an adjoining country (Covered Countries), Myanmar, Angola, Cambodia, Malaysia, Kazakhstan, Portugal, Mongolia, Austria, Mozambique, Luxembourg, Brazil, Republic Of Korea, Guyana, Chile, Laos, Colombia, Ecuador, Argentina, Hungary, South Sudan, Japa | Includes Covered Countries | DRC,Burundi,Rwanda | RCOI confirmed as per RMAP | Australia, Bolivia,Brazil,Burundi,DRC,Ethiopia,India,Mozanbique,Namibia,Nigeria,Rwanda,Sierra Leone, Zimbabwe | DRC- Congo (Kinshasa), Myanmar, Angola, Cambodia, Malaysia, Kazakhstan, Portugal, Austria, Mongolia, Mozambique, L | the DRC or an adjoining country(covered countries) | LR, CC, DRC, HR, R/S | Australia, Bolivia, Brazil, Burundi, Democratic Republic of Congo, Ethiopia, India, Mozambique, Namibia, Nigeria, Rwanda, Sierra Leone, Zimbabwe | Mineral sourcing LR, CC, DRC, HR, R/S, from Ganzhou, Sarnia</t>
  </si>
  <si>
    <t>Map Ta Phut, Rayong</t>
  </si>
  <si>
    <t>Some are high risk countries, covered countries, and DRC sourced but not all. | Raw Materials are sourced from multiple conflict-free mines globally. Inustry standard traceability schemes and other information sources are utilized. Names and and locations of all mines are disclosed to HCS auditors during the RMI audits. | 0 | Recycled, Scrap and mines | Raw material is sourced from multiple conflict-free mines globally. Industry standard traceability schemes and other information sources are utilzed. Names and locations of all mines are disclosed to the auditor during the CSI audit. | Some are recycled, scrap, Raw material is sourced from multiple conflict-free mines globally</t>
  </si>
  <si>
    <t>Some are high risk countries, covered countries, and DRC sourced but not all. | Reason to believe sources from the DRC or covered countries | Australia, Bolivia, Brazil, Burundi, DRC or an adjoining country (Covered Countries), Ethiopia, India, Mozambique, Namibia, Nigeria, Rwanda, Sierra Leone, Zimbabwe, Myanmar, Angola, Cambodia, Malaysia, Kazakhstan, Portugal, Austria, Mongolia, Luxembourg,  | Includes Covered Countries | RCOI confirmed as per RMAP | Australia, Bolivia,Brazil,Burundi,DRC,Ethiopia,India,Mozanbique,Namibia,Nigeria,Rwanda,Sierra Leone, Zimbabwe | DRC- Congo (Kinshasa), Myanmar, Angola, Cambodia, Malaysia, Kazakhstan, Portugal, Austria, Mongolia, Mozambique, L | the DRC or an adjoining country(covered countries) | LR, CC, DRC, R/S | Australia, Bolivia, Brazil, Burundi, Democratic Republic of Congo, Ethiopia, India, Mozambique, Namibia, Nigeria, Rwanda, Sierra Leone, Zimbabwe | Mineral sourcing LR, CC, DRC, HR, from Australia, Bolivia, Brazil, Burundi, Democratic Republic of Congo, Ethiopia, India, Mozambique, Namibia, Nigeria, Rwanda, Sierra Leone, Zimbabwe</t>
  </si>
  <si>
    <t>Matamoros, Tamaulipas</t>
  </si>
  <si>
    <t>Some are recyled/scrap sourced but not all. | Some are recycled, scrap or cover countries sourced but not all. | 0 | Recycled, Scrap and mines | Some are recycled, scrap or covered countries sourced but not all.</t>
  </si>
  <si>
    <t>Some are recyled/scrap sourced but not all. | Sources from DRC or covered countries | DRC or an adjoining country (Covered Countries), Myanmar, Angola, Cambodia, Malaysia, Kazakhstan, Portugal, Mongolia, Austria, Mozambique, Mali, Luxembourg, Guyana, Republic Of Korea, Brazil, Chile, Laos, Colombia, Ecuador, Argentina, South Sudan, Hungary | Includes Covered Countries | RCOI confirmed as per RMAP | Some are recycled, scrap or cover countries sourced but not all. | DRC- Congo (Kinshasa), Myanmar, Angola, Cambodia, Malaysia, Kazakhstan, Portugal, Austria, Mongolia, Mozambique, Mali, Luxembourg, Korea, Republic of, Guyana,  | L1, CC, R/S | Mineral sourcing LR, R/S based on RMAP-RMI's RCOI data</t>
  </si>
  <si>
    <t>Fengxin, Jiangxi Sheng</t>
  </si>
  <si>
    <t>RCOI confirmed as per RMI. | No reason to believe sources from DRC or covered countries | China, DRC or an adjoining country (Covered Countries), Recycled/Scrap, USA, Russia | Excludes Covered Countries | No known country of origin | 0 | Excludes Covered Countries | L1 | Mineral sourcing L1 based on RMAP-RMI's RCOI data</t>
  </si>
  <si>
    <t>YunFu City, Guangdong Sheng</t>
  </si>
  <si>
    <t>Some are recycled/scrap sourced but not all. | 0 | Not disclosed by supplier</t>
  </si>
  <si>
    <t>Some are recycled/scrap sourced but not all. | Does not source from DRC or covered countries | China, DRC or an adjoining country (Covered Countries), Kazakhstan, Recycled/Scrap | Includes Covered Countries | No reason to believe sources from DRC or covered countries | China | 0 | Includes Covered Countries | L1, L2, DRC | Mineral sourcing L1, R/S based on RMAP-RMI's RCOI data</t>
  </si>
  <si>
    <t>Jiujiang, Jiangxi Sheng</t>
  </si>
  <si>
    <t>RCOI confirmed as per RMI. | No reason to believe sources from DRC or covered countries | DRC or an adjoining country (Covered Countries), Myanmar, Cambodia, Malaysia, Kazakhstan, Portugal, Mongolia, Austria, Luxembourg, Brazil, Guyana, Republic Of Korea, Chile, Laos, Ecuador, Colombia, Argentina, Hungary, Japan, India, Canada, Belgium, Namibi | Excludes Covered Countries | Does not source from DRC or covered countries | DRC- Congo (Kinshasa), Myanmar, Cambodia, Malaysia, Kazakhstan, Portugal, Mongolia, Austria, Luxembourg, Korea, Republic of, Brazil, Guyana, Chile, Laos, Colombia, Ecuador, Argentina, Hungary, Japan, India,  | LR | Mineral sourcing LR based on RMAP-RMI's RCOI data</t>
  </si>
  <si>
    <t>Zhuzhou, Hunan Sheng</t>
  </si>
  <si>
    <t>Some are recyled/scrap sourced but not all. | Some are recycled, scrap, cover countries or DRC sourced but not all. | 0 | Recycled, Scrap and mines | No data from supplier | Not disclosed by supplier</t>
  </si>
  <si>
    <t>Some are recyled/scrap sourced but not all. | No reason to believe sources from DRC or covered countries | DRC or an adjoining country (Covered Countries), Recycled/Scrap, Myanmar, Cambodia, Malaysia, Kazakhstan, Portugal, Mongolia, Austria, Luxembourg, Republic Of Korea, Brazil, Guyana, Chile, Laos, Ecuador, Colombia, Argentina, Hungary, Japan, India, Canada, | Includes Covered Countries | Some are recycled, scrap, cover countries or DRC sourced but not all. | Does not source from DRC or covered countries | Myanmar, Cambodia, Malaysia, Kazakhstan, Portugal, Mongolia, Austria, Luxembourg, Guyana, Korea, Republic of, Brazil, Chile, Laos, Ecua | the DRC or an adjoining country(covered countries) | L1, L2, CC, DRC, R/S | No data from supplier | Mineral sourcing LR, R/S, from China</t>
  </si>
  <si>
    <t>Gastonia, North Carolina</t>
  </si>
  <si>
    <t>Some are recyled/scrap sourced but not all. | Some are recycled, scrap, cover countries or DRC sourced but not all. | 0 | Recycled, Scrap and mines | Recycled or Scrap | From mines not disclosed and recycled and scrap</t>
  </si>
  <si>
    <t>Some are recyled/scrap sourced but not all. | Does not source from DRC or covered countries | DRC or an adjoining country (Covered Countries), Recycled/Scrap, Indonesia, USA, China, Brazil, Ethiopia | Includes Covered Countries | RCOI confirmed as per RMAP | Some are recycled, scrap, cover countries or DRC sourced but not all. | Does not source from DRC or covered countries | 0 | Includes Covered Countries | LR, CC, DRC, R/S | Recycled or Scrap | Mineral sourcing LR, R/S based on RMAP-RMI's RCOI data</t>
  </si>
  <si>
    <t>Hengyang, Hunan Sheng</t>
  </si>
  <si>
    <t>Some are  high-risk and covered countries sourced but not all. | 0 | Not disclosed by supplier | China, Scrap | Some are sourced from covered countries but not all.</t>
  </si>
  <si>
    <t>Some are  high-risk and covered countries sourced but not all. | Sources from DRC or covered countries | Myanmar, Cambodia, Malaysia, Kazakhstan, Portugal, Austria, Mongolia, Luxembourg, Guyana, Republic Of Korea, Brazil, Chile, Laos, Ecuador, Colombia, Argentina, Hungary, Japan, India, Canada, Belgium, Namibia, China, Peru, Germany, Ethiopia, Russia, Singap | Includes Covered Countries | RCOI confirmed as per RMAP | Does not source from DRC or covered countries | Myanmar, Cambodia, Malaysia, Kazakhstan, Portugal, Mongolia, Austria, Luxembourg, Guyana, Korea, Republic of, Brazil, Chile, Laos, Colombia, Ecuador, Argentina, Hungary, Japan, I | the DRC or an adjoining country(covered countries) | LR, HR, CC | China | Mineral sourcing LR, HR, CC based on RMAP-RMI's RCOI data</t>
  </si>
  <si>
    <t>RCOI Confirmed as per CSFI | Some are recycled/scrap, high risk countries, covered countries, and DRC sourced but not all. | Bundjali, D2 Mataba, D3 Bibatama, D4 Gakombe, Koyi, Luwowo, Bibwekunga, Kahenba, Lukungwe, Matantali, Sabbat, Djibende, Dragon, Katato, Kisimba-Mombo, Wemba, Kisimba-Mombo, Biruyi, Busesa, Busoro, Gashorera, Gisoro 1, Kabarombe, Kagano, Kamuzi, Kavuza, Mp | From Exotech (dealer), Zabaykalsky GOK, Lovozersky GOK, AKANYAMWISHYURA, BITANGO,  GASEKE, GASURA, GIHINGA, KABABARA, NYAMIRAMA, RUKAGARATA, SIMBA, RUSHOKA and Scrap | Ta Scrap, Kahendwa, Katonge, Kisengo, Kiyambi, Luena, Bitango, Shori, AKANYAMWISHYURA, BITANGO, GASEKE, GASURA, GIHINGA, KABABARA, NYAMIRAMA, RUKAGARATA, SIMBA, RUSHOKA | Kahendwa, Katonge, Kisengo, Kiyambi, Luena, Bitango,  Shori</t>
  </si>
  <si>
    <t>RCOI Confirmed as per CSFI | Some are recycled/scrap, high risk countries, covered countries, and DRC sourced but not all. | Sources from DRC or covered countries | Kazakhstan, DRC or an adjoining country (Covered Countries), Recycled/Scrap, Russia, Zimbabwe, Rwanda, USA, Japan, DRC or an adjoining country (Covered Countries), Australia, Myanmar, Angola, Cambodia, Malaysia, Portugal, Austria, Mongolia, Mozambique, Lu | Includes Covered Countries | RCOI confirmed as per RMAP | DRC (North Kivu), DRC (Katanga), Rwanda | Some are recycled, scrap, cover countries or DRC sourced but not all. | DRC- Congo (Kinshasa), Myanmar, Angola, Cambodia, Malaysia, Kazakhstan, Portugal, Austria, Mongolia, Mozambique, | the DRC or an adjoining country(covered countries) | LR, HR, CC, DRC, R/S | Australia, Bolivia, Brazil, Ethiopia, India, Mozambigue, Rwanda, Sierra Leone, Zimbabwe, Japan, DRC, Katanga, Rwanda, Scrap | Mineral sourcing LR, HR, CC, DRC, R/S, from Australia, Bolivia, Brazil, Ethiopia, India, Mozambigue, Rwanda, Sierra Leone, Zimbabwe, Japan, DRC, Katanga</t>
  </si>
  <si>
    <t>Croydon, Pennsylvania</t>
  </si>
  <si>
    <t>Some are recyled/scrap sourced but not all. | 0 | Recycled, Scrap and mines | Some are recycled or scrap sourced but not all.</t>
  </si>
  <si>
    <t>Some are recyled/scrap sourced but not all. | Does not source from DRC or covered countries | Myanmar, Cambodia, Malaysia, Kazakhstan, Portugal, Mongolia, Austria, Luxembourg, Republic Of Korea, Brazil, Guyana, Chile, Laos, Colombia, Ecuador, Argentina, Hungary, Japan, India, Canada, Belgium, Namibia, China, Peru, Germany, Ethiopia, Russia, Vietna | Excludes Covered Countries | Does not source from DRC or covered countries | Myanmar, Cambodia, Malaysia, Kazakhstan, Portugal, Mongolia, Austria, Luxembourg, Brazil, Korea, Republic of, Guyana, Chile, Laos, Ecuador, Colombia, Argentina, Hungary, Japan, India, Canada, Belgium, Namibi | the DRC or an adjoining country(covered countries) | LR, R/S | Mineral sourcing LR, R/S based on RMAP-RMI's RCOI data</t>
  </si>
  <si>
    <t>Harima, Hyogo</t>
  </si>
  <si>
    <t>Some are recycled/scrap, high risk countries, and covered countries sourced but not all. | 0 | Recycled, Scrap and mines | Some are recycled, scrap or covered countries.</t>
  </si>
  <si>
    <t>Some are recycled/scrap, high risk countries, and covered countries sourced but not all. | Sources from DRC or covered countries | Myanmar, Angola, Cambodia, Malaysia, Kazakhstan, Portugal, Mongolia, Austria, Luxembourg, Republic Of Korea, Brazil, Guyana, Chile, Laos, Ecuador, Colombia, Argentina, South Sudan, Hungary, Japan, Tanzania, Zambia, DRC or an adjoining country (Covered Cou | Includes Covered Countries | Burundi,Rwanda | Myanmar, Angola, Cambodia, Malaysia, Kazakhstan, Portugal, Mongolia, Austria, Luxembourg, Korea, Republic of, Guyana, Brazil, Chile, Laos, Ecuador, Colombia, Argentina, Hungary, South Sudan, Japan, Tanzania, Zambia, Congo (Brazzaville), India, Canada, Bel | the DRC or an adjoining country(covered countries) | Japan | R/S, CC, HR | L1, L3, R/S | Mineral sourcing R/S, CC, HR based on RMAP-RMI's RCOI data</t>
  </si>
  <si>
    <t>Solikamsk, Permskiy kray</t>
  </si>
  <si>
    <t>RCOI confirmed as per RMI. | 0 | From Lovozerskiy Mining &amp; Concentration Works OOO</t>
  </si>
  <si>
    <t>RCOI confirmed as per RMI. | Does not source from DRC or covered countries | Myanmar, Cambodia, Malaysia, Kazakhstan, Portugal, Mongolia, Austria, Luxembourg, Guyana, Republic Of Korea, Brazil, Chile, Laos, Colombia, Ecuador, Argentina, Hungary, Japan, India, Canada, Belgium, Namibia, China, Peru, Germany, Ethiopia, Russia, Vietna | Excludes Covered Countries | Does not source from DRC or covered countries | Myanmar, Cambodia, Malaysia, Kazakhstan, Portugal, Austria, Mongolia, Luxembourg, Korea, Republic of, Guyana, Brazil, Chile, Laos, Ecuador, Colombia, Argentina, Hungary, Japan, India, Canada, Belgium, Namibi | L1 | Mineral sourcing L1, from Russian</t>
  </si>
  <si>
    <t>Some are recycled/scrap sourced but not all. | Some are recycled, scrap, cover countries or DRC sourced but not all. | 0 | Recycled, Scrap and mines | Some are recycled, scrap, covered countries or DRC sourced but not all.</t>
  </si>
  <si>
    <t>Some are recycled/scrap sourced but not all. | No reason to believe sources from DRC or covered countries | Russia, China, Peru, Indonesia, Recycled/Scrap, DRC or an adjoining country (Covered Countries) | Includes Covered Countries | Some are recycled, scrap, cover countries or DRC sourced but not all. | Does not source from DRC or covered countries | Russian Federation, China, Peru | 0 | Includes Covered Countries | L1, CC, DRC, R/S | Mineral sourcing L1, R/S based on RMAP-RMI's RCOI data</t>
  </si>
  <si>
    <t>Carrollton, Texas</t>
  </si>
  <si>
    <t>Recyled/Scrap | No reason to believe sources from DRC or covered countries | Australia, Bolivia, Brazil, Ethiopia, India, Mozambique, Namibia, Rwanda, Sierra Leone, Zimbabwe, Recycled/Scrap, DRC or an adjoining country (Covered Countries), Burundi, Nigeria, China, USA, Poland | Recycled/Scrap Only | Does not source from DRC or covered countries | United States, Poland, Brazil | 0 | Recycled/Scrap Only | R/S | Mineral sourcing R/S</t>
  </si>
  <si>
    <t>Shizuishan City, Ningxia Huizi Zizhiqu</t>
  </si>
  <si>
    <t>Some are recycled/scrap, covered countries sourced but not all. | Some are recycled, scrap, cover countries or DRC sourced but not all. | 0 | Recycled, Scrap and mines, from CIF, Kenticha, Nanping, Yichun, Scrap, Scrap | CIF, Kenticha, Nanping, Yichun, Scrap | Recycled and scrap, and mines from Mibra,CIF, Kenticha, Nanping, Yichun</t>
  </si>
  <si>
    <t>Some are recycled/scrap, covered countries sourced but not all. | Reason to believe sources from the DRC or covered countries | Ethiopia, Brazil, China, Recycled/Scrap, Australia, Rwanda, Australia, DRC or an adjoining country (Covered Countries), Myanmar, Angola, Cambodia, Malaysia, Kazakhstan, Portugal, Austria, Mongolia, Mozambique, Luxembourg, Republic Of Korea, Guyana, Chile, | Includes Covered Countries | Burundi,Rwanda | RCOI confirmed as per RMAP | Some are recycled, scrap, cover countries or DRC sourced but not all. | DRC- Congo (Kinshasa), Myanmar, Angola, Cambodia, Malaysia, Kazakhstan, Portugal, Austria, Mongolia, Mozambique, Luxembourg, Guyana, Korea, Republic of, B | the DRC or an adjoining country(covered countries) | L1, CC, DRC | Brazil, Ethiopia, China, Scrap | Mineral sourcing L1, CC, R/S from Brazil, Ethiopia and China</t>
  </si>
  <si>
    <t>Sillamäe, Ida-Virumaa</t>
  </si>
  <si>
    <t>Some are high risk, covered countries, and DRC sourced but not all. | 0 | not available | Some are sourced from covered countries or DRC but not all.</t>
  </si>
  <si>
    <t>Some are high risk, covered countries, and DRC sourced but not all. | Sources from DRC or covered countries | DRC or an adjoining country (Covered Countries), Recycled/Scrap, Myanmar, Cambodia, Malaysia, Kazakhstan, Portugal, Mongolia, Austria, Luxembourg, Guyana, Brazil, Republic Of Korea, Chile, Laos, Colombia, Ecuador, Argentina, Hungary, Japan, India, Canada, | Includes Covered Countries | No reason to believe sources from DRC or covered countries | Myanmar, Cambodia, Malaysia, Kazakhstan, Portugal, Mongolia, Austria, Luxembourg, Guyana, Korea, Republic of, Brazil, Chile, Laos, Colombia, Ecuador, Argentina, Hungary, Japan, India, Canada, Be | HR, DRC, CC, LR | Mineral sourcing HR, DRC, CC, LR based on RMAP-RMI's RCOI data</t>
  </si>
  <si>
    <t>Omuta, Fukuoka</t>
  </si>
  <si>
    <t>Some are recycled/scrap sourced but not all. | Sources from DRC or covered countries | Recycled/Scrap, Japan, Australia, Canada, Chile, South Africa, DRC or an adjoining country (Covered Countries), USA, China | Excludes Covered Countries | Not coverd countries area | Japan, Brazil, United Kingdom, Malaysia, Chile, Australia | 0 | Excludes Covered Countries | the DRC or an adjoining country(covered countries) | L1, R/S | Mineral sourcing L1,R/S based on RMAP-RMI's RCOI data</t>
  </si>
  <si>
    <t>Presidente Figueiredo, Amazonas</t>
  </si>
  <si>
    <t>RCOI confirmed as per RMI. | Does not source from DRC or covered countries | Brazil | Excludes Covered Countries | Does not source from DRC or covered countries | Brazil | 0 | Excludes Covered Countries | L1 | Mineral sourcing L1 based on RMAP-RMI's RCOI data</t>
  </si>
  <si>
    <t>District Raigad, Maharashtra</t>
  </si>
  <si>
    <t>Some are recycled/scrap sourced but not all. | Does not source from DRC or covered countries | Myanmar, Cambodia, Malaysia, Kazakhstan, Portugal, Austria, Mongolia, Mozambique, Luxembourg, Guyana, Republic Of Korea, Brazil, USA, Chile, Laos, Ecuador, Colombia, Argentina, Hungary, Japan, India, Canada, Belgium, Namibia, China, South Africa, Peru, Et | Excludes Covered Countries | No reason to believe sources from DRC or covered countries | Myanmar, Cambodia, Malaysia, Kazakhstan, Portugal, Austria, Mongolia, Mozambique, Luxembourg, Guyana, Korea, Republic of, Brazil, Jersey, Chile, Laos, Ecuador, Colombia, Argentina, Hungary, Japa | L1, L2, R/S | Mineral sourcing L1, L2, R/S based on RMAP-RMI's RCOI data</t>
  </si>
  <si>
    <t>São João del Rei, Minas Gerais</t>
  </si>
  <si>
    <t>RCOI confirmed as per RMI. | Some are recycled or scrap sourced but not all. | 0 | Not disclosed by supplier</t>
  </si>
  <si>
    <t>RCOI confirmed as per RMI. | Does not source from DRC or covered countries | Recycled/Scrap, DRC or an adjoining country (Covered Countries), Myanmar, Cambodia, Malaysia, Kazakhstan, Portugal, Austria, Mongolia, Luxembourg, Guyana, Brazil, Republic Of Korea, Chile, Laos, Ecuador, Colombia, Argentina, Hungary, Japan, India, Canada, | Excludes Covered Countries | Some are recycled or scrap sourced but not all. | Does not source from DRC or covered countries | DRC- Congo (Kinshasa), Myanmar, Cambodia, Malaysia, Kazakhstan, Portugal, Mongolia, Austria, Luxembourg, Guyana, Korea, Republic of, Brazil, Chile, Laos, Col | LR | Mineral sourcing LR based on RMAP-RMI's RCOI data</t>
  </si>
  <si>
    <t>Some are recycled/scrap sourced but not all. | Some are recycled or scrap sourced but not all. | 0 | Recycled, Scrap and mines | China, Scrap | Scrap and mines</t>
  </si>
  <si>
    <t>Some are recycled/scrap sourced but not all. | Sources from DRC or covered countries | DRC or an adjoining country (Covered Countries), Myanmar, Angola, Cambodia, Malaysia, Kazakhstan, Portugal, Mongolia, Austria, Mozambique, Luxembourg, Republic Of Korea, Brazil, Guyana, Chile, Laos, Ecuador, Colombia, Argentina, South Sudan, Hungary, Japa | Excludes Covered Countries | Not coverd countries area | RCOI confirmed as per RMAP | Some are recycled or scrap sourced but not all. | DRC- Congo (Kinshasa), Myanmar, Angola, Cambodia, Malaysia, Kazakhstan, Portugal, Austria, Mongolia, Mozambique, Luxembourg, Guyana, Korea, Republic of, Brazil, Chile, Laos, Co | the DRC or an adjoining country(covered countries) | L1, L2, R/S | China | Mineral sourcing L1, L2, R/S, from Jiangxi Province</t>
  </si>
  <si>
    <t>RCOI confirmed as per RMI. | Some are cover countries or DRC sourced but not all. | 0 | Not disclosed by supplier | China, Scrap | Scrap and mines</t>
  </si>
  <si>
    <t>RCOI confirmed as per RMI. | Sources from DRC or covered countries | DRC or an adjoining country (Covered Countries), Myanmar, Angola, Cambodia, Malaysia, Kazakhstan, Portugal, Austria, Mongolia, Luxembourg, Republic Of Korea, Guyana, Brazil, Chile, Laos, Ecuador, Colombia, Argentina, South Sudan, Hungary, Japan, Tanzania, | Excludes Covered Countries | RCOI confirmed as per RMAP | Some are cover countries or DRC sourced but not all. | DRC- Congo (Kinshasa), Myanmar, Angola, Cambodia, Malaysia, Kazakhstan, Portugal, Mongolia, Austria, Luxembourg, Guyana, Korea, Republic of, Brazil, Chile, Laos, Ecuador,  | the DRC or an adjoining country(covered countries) | LR | China | Mineral sourcing LR, from China</t>
  </si>
  <si>
    <t>Yingde, Guangdong Sheng</t>
  </si>
  <si>
    <t>Some are recycled/scrap, high risk countries, covered countries, and DRC sourced but not all. | Some are recycled, scrap, cover countries or DRC sourced but not all. | 0 | Recycled, Scrap and mines | Some are recycled, scrap, covered countries or DRC sourced but not all.</t>
  </si>
  <si>
    <t>Some are recycled/scrap, high risk countries, covered countries, and DRC sourced but not all. | Sources from DRC or covered countries | DRC or an adjoining country (Covered Countries), Myanmar, Cambodia, Malaysia, Kazakhstan, Portugal, Mongolia, Austria, Luxembourg, Guyana, Brazil, Republic Of Korea, Chile, Laos, Colombia, Ecuador, Argentina, Hungary, Japan, India, Canada, Belgium, Namibi | Includes Covered Countries | RCOI confirmed as per RMAP | Some are recycled, scrap, cover countries or DRC sourced but not all. | DRC- Congo (Kinshasa), Myanmar, Cambodia, Malaysia, Kazakhstan, Portugal, Austria, Mongolia, Luxembourg, Korea, Republic of, Brazil, Guyana, Chile, Laos,  | the DRC or an adjoining country(covered countries) | LR, HR, DRC, CC, R/S | Mineral sourcing LR, HR, DRC, CC, R/S based on RMAP-RMI's RCOI data</t>
  </si>
  <si>
    <t>Jiangmen, Guangdong Sheng</t>
  </si>
  <si>
    <t>RCOI Confirmed as per CSFI | Some are high-risk countries, covered countries, and DRC sourced but not all. | Some are recycled, scrap, cover countries or DRC sourced but not all. | 0 | Recycled, Scrap and mines | No data from supplier | Some are recycled, scrap, covered countries or DRC sourced but not all.</t>
  </si>
  <si>
    <t>RCOI Confirmed as per CSFI | Some are high-risk countries, covered countries, and DRC sourced but not all. | Sources from DRC or covered countries | DRC or an adjoining country (Covered Countries), Myanmar, Angola, Cambodia, Malaysia, Kazakhstan, Portugal, Mongolia, Austria, Luxembourg, Guyana, Brazil, Republic Of Korea, Chile, Laos, Colombia, Ecuador, Argentina, Hungary, South Sudan, Japan, Tanzania, | Includes Covered Countries | DRC,Burundi,Rwanda | RCOI confirmed as per RMAP | Some are recycled, scrap, cover countries or DRC sourced but not all. | DRC- Congo (Kinshasa), Myanmar, Angola, Cambodia, Malaysia, Kazakhstan, Portugal, Austria, Mongolia, Luxembourg, Guyana, Brazil, Korea, Republic of, Chile | the DRC or an adjoining country(covered countries) | LR, HR, DRC, CC | Raw material is sourced from multiple conflict-free mines globally. | Mineral sourcing LR, HR, DRC, CC based on RMAP-RMI's RCOI data</t>
  </si>
  <si>
    <t>Pompano Beach, Florida</t>
  </si>
  <si>
    <t>Recycled or Scrap | Some are recyled/scrap sourced but not all. | 0 | Recycled, Scrap and mines | Some are recycled, scrap, covered countries or DRC sourced but not all.</t>
  </si>
  <si>
    <t>Recycled or Scrap | Some are recyled/scrap sourced but not all. | Does not source from DRC or covered countries | Myanmar, Cambodia, Malaysia, Kazakhstan, Portugal, Austria, Mongolia, Mozambique, Luxembourg, Guyana, Republic Of Korea, Brazil, Chile, Laos, Ecuador, Colombia, Argentina, Hungary, Japan, India, Canada, Belgium, Namibia, China, Peru, Ethiopia, Germany, Ru | Includes Covered Countries | RCOI confirmed as per RMAP | Does not source from DRC or covered countries | 0 | Includes Covered Countries | the DRC or an adjoining country(covered countries) | LR, CC, DRC, R/S | Mineral sourcing LR,R/S based on RMAP-RMI's RCOI data</t>
  </si>
  <si>
    <t>Changsha, Hunan Sheng</t>
  </si>
  <si>
    <t>Some are recycled/scrap sourced but not all. | Some are recycled, scrap or cover countries sourced but not all. | 0 | Recycled, Scrap and mines | China, Scrap | Some are recycled, scrap or covered countries sourced but not all.</t>
  </si>
  <si>
    <t>Some are recycled/scrap sourced but not all. | Does not source from DRC or covered countries | China, Recycled/Scrap | Includes Covered Countries | Some are recycled, scrap or cover countries sourced but not all. | Does not source from DRC or covered countries | DRC- Congo (Kinshasa), Canada, Russian Federation, Mozambique, China, Brazil, Australia, Thailand | 0 | Includes Covered Countries | the DRC or an adjoining country(covered countries) | L1, L2, CC, R/S | China | Mineral sourcing L1, R/S from China</t>
  </si>
  <si>
    <t>Some are recycled/scrap, high risk countries, and covered countries sourced but not all. | Recycled, Scrap | 0 | Recycled, Scrap</t>
  </si>
  <si>
    <t>Some are recycled/scrap, high risk countries, and covered countries sourced but not all. | Does not source from DRC or covered countries | Recycled/Scrap | Includes Covered Countries | Recycled, Scrap | Does not source from DRC or covered countries | No known country of origin | 0 | Includes Covered Countries | R/S, CC, HR | Mineral sourcing R/S, CC, HR based on RMAP-RMI's RCOI data</t>
  </si>
  <si>
    <t>Pangkalpinang, Kepulauan Bangka Belitung</t>
  </si>
  <si>
    <t>Pangkalpinang</t>
  </si>
  <si>
    <t>Gejiu,Yunnan</t>
  </si>
  <si>
    <t>Yunnan</t>
  </si>
  <si>
    <t>Jagdalpur, Chhattisgarh</t>
  </si>
  <si>
    <t>Gejiu, Yunnan Sheng</t>
  </si>
  <si>
    <t>Some are recycled/scrap sourced but not all. | 0 | not available</t>
  </si>
  <si>
    <t>Some are recycled/scrap sourced but not all. | Does not source from DRC or covered countries | Due diligence results pending | Excludes Covered Countries | Does not source from DRC or covered countries | No known country of origin | 0 | Excludes Covered Countries | L1, R/S</t>
  </si>
  <si>
    <t>Kigali, City of Kigali</t>
  </si>
  <si>
    <t>Some are  high-risk and covered countries sourced but not all.</t>
  </si>
  <si>
    <t>Some are  high-risk and covered countries sourced but not all. | Sources from DRC or covered countries | Due diligence results pending | Includes Covered Countries</t>
  </si>
  <si>
    <t>Maanshan, Anhui Sheng</t>
  </si>
  <si>
    <t>Recyled/Scrap | 0 | not available | Recycled, Scrap</t>
  </si>
  <si>
    <t>Recyled/Scrap | No reason to believe sources from DRC or covered countries | Due diligence results pending | Recycled/Scrap Only | No reason to believe sources from DRC or covered countries | No known country of origin | 0 | R/S | Mineral sourcing R/S</t>
  </si>
  <si>
    <t>Dongguan,Guangdong Sheng</t>
  </si>
  <si>
    <t>No reason to believe sources from DRC or covered countries | Due diligence results pending | No reason to believe sources from DRC or covered countries | No known country of origin</t>
  </si>
  <si>
    <t>West Chester, Pennsylvania</t>
  </si>
  <si>
    <t>Some are recyled/scrap sourced but not all. | 0 | not available | Some are recycled, scrap, covered countries or DRC sourced but not all.</t>
  </si>
  <si>
    <t>Some are recyled/scrap sourced but not all. | Does not source from DRC or covered countries | USA | Includes Covered Countries | Does not source from DRC or covered countries | No known country of origin | 0 | Includes Covered Countries | LR, CC, DRC, R/S | Mineral sourcing LR, R/S based on RMAP-RMI's RCOI data</t>
  </si>
  <si>
    <t>Yangon,Yangon</t>
  </si>
  <si>
    <t>No reason to believe sources from DRC or covered countries | Canada, China, USA, Uzbekistan, Bermuda, Malaysia, Chile, Australia, Peru, Indonesia, Myanmar | No reason to believe sources from DRC or covered countries | No known country of origin</t>
  </si>
  <si>
    <t>Myanmar, Cambodia, Malaysia, Kazakhstan, Portugal, Austria, Mongolia, Luxembourg, Guyana, Brazil, Republic Of Korea, Chile, Laos, Ecuador, Colombia, Argentina, Hungary, Japan, India, Canada, Belgium, Namibia, China, Peru, Ethiopia, Germany, Russia, Singap | Does not source from DRC or covered countries | Mineral sourcing not disclosed</t>
  </si>
  <si>
    <t>Chifeng, Nei Mongol Zizhiqu</t>
  </si>
  <si>
    <t>Some are recycled/scrap sourced but not all. | CNMC Building,No.10,Anding Road, ChaoyangDistrict,Beijing,China | Some are recycled or scrap sourced but not all. | 0 | Recycled, Scrap and mines | Some are recycled or scrap sourced but not all.</t>
  </si>
  <si>
    <t>Some are recycled/scrap sourced but not all. | Does not source from DRC or covered countries | China, Recycled/Scrap | Excludes Covered Countries | CHINA; UNKNOWN | Does not source from DRC or covered countries | Some are recycled or scrap sourced but not all. | No known country of origin | 0 | Excludes Covered Countries | L1, R/S | Mineral sourcing L1, R/S based on RMAP-RMI's RCOI data</t>
  </si>
  <si>
    <t>Chaozhou, Guangdong Sheng</t>
  </si>
  <si>
    <t>Some are recycled/scrap sourced but not all. | Some are recycled or scrap sourced but not all. | 0 | Recycled, Scrap and mines</t>
  </si>
  <si>
    <t>Some are recycled/scrap sourced but not all. | Does not source from DRC or covered countries | China, Recycled/Scrap, DRC or an adjoining country (Covered Countries) | Excludes Covered Countries | CHINA; UNKNOWN | Does not source from DRC or covered countries | Some are recycled or scrap sourced but not all. | No reason to believe sources from DRC or covered countries | No known country of origin | 0 | Excludes Covered Countries | L1, R/S | Mineral sourcing L1, R/S based on RMAP-RMI's RCOI data</t>
  </si>
  <si>
    <t>Does not source from DRC or covered countries | Recycled/Scrap</t>
  </si>
  <si>
    <t>Ganzhou, Jiangxi Sheng</t>
  </si>
  <si>
    <t>RCOI confirmed as per RMI. | No reason to believe sources from DRC or covered countries | China | Excludes Covered Countries | CHINA; UNKNOWN | No reason to believe sources from DRC or covered countries | No known country of origin | 0 | Excludes Covered Countries | L1 | Mineral sourcing L1 based on RMAP-RMI's RCOI data</t>
  </si>
  <si>
    <t>Thai Nguyen, Thái Nguyên</t>
  </si>
  <si>
    <t>RCOI confirmed as per RMI. | RMIにより確認されたRCOI | RCOI confirmed as per RMI; RCOI recognized by RMI | RCOI confirmed as per RMI | 0 | RCOI recognized by RMI | not available | Not disclosed by supplier</t>
  </si>
  <si>
    <t>RCOI confirmed as per RMI. | No reason to believe sources from DRC or covered countries | Due diligence results pending | Excludes Covered Countries | タイ | THAILAND; VIET NAM | Thai | No reason to believe sources from DRC or covered countries | Excludes Covered Countries | No known country of origin | 0 | Thailand | L1 | Mineral sourcing L1 from Thailand</t>
  </si>
  <si>
    <t>Berango, Bizkaia</t>
  </si>
  <si>
    <t>Some are recyled/scrap sourced but not all. | Some are recycled, scrap, cover countries or DRC sourced but not all. | 0 | Recycled, Scrap and mines | Some are recycled, scrap, covered countries or DRC sourced but not all.</t>
  </si>
  <si>
    <t>Some are recyled/scrap sourced but not all. | No reason to believe sources from DRC or covered countries | Spain, Belgium, Recycled/Scrap, Austria, DRC or an adjoining country (Covered Countries), Myanmar, Angola, Cambodia, Malaysia, Kazakhstan, Portugal, Mongolia, Luxembourg, Guyana, Brazil, Republic Of Korea, Chile, Laos, Colombia, Ecuador, Argentina, South  | Includes Covered Countries | UNKNOWN; SPAIN | Does not source from DRC or covered countries | Some are recycled, scrap, cover countries or DRC sourced but not all. | Spain | 0 | Includes Covered Countries | L1, CC, DRC, R/S | Mineral sourcing LR, R/S based on RMAP-RMI's RCOI data</t>
  </si>
  <si>
    <t>Beerse, Antwerpen</t>
  </si>
  <si>
    <t>Scrap or recycled | Some are recyled/scrap sourced but not all. | RCOI confirmed as per RMI | Metallo-Chimique N.V. | Some are recycled, scrap, cover countries or DRC sourced but not all. | recycled, scrap | Recycled scrap material Copper Tin waste and by product from other European sources of this scrap | 0 | RCOI confirmed as per CFSI | Not disclosed by supplier | Recycled | Recycled, Scrap and mines | Recycled scrap material | Some are recycled, scrap, covered countries or DRC sourced but not all. | RCOI confirmed as per CFSI</t>
  </si>
  <si>
    <t>Scrap or recycled | Some are recyled/scrap sourced but not all. | No reason to believe sources from DRC or covered countries | Belgium, DRC or an adjoining country (Covered Countries), Myanmar, Cambodia, Malaysia, Kazakhstan, Portugal, Austria, Mongolia, Luxembourg, Republic Of Korea, Guyana, Brazil, Chile, Laos, Colombia, Ecuador, Argentina, Hungary, Japan, India, Canada, Namibi | Includes Covered Countries | RCOI confirmed as per RMI | BELGIUM; UNKNOWN; SPAIN | Not coverd countries area | Some are recycled, scrap, cover countries or DRC sourced but not all. | recycled, scrap | Recycled scrap material | Does not source from DRC or covered countries | DRC- Congo (Kinshasa), Myanmar, Cambodia, Malaysia, Kazakhstan, Portugal, Mongolia, Austria | BELGIUM | the DRC or an adjoining country(covered countries) | Recycled | L1, CC, DRC, R/S | Recycled scrap material | Mineral sourcing LR, R/S, from Belgium | No</t>
  </si>
  <si>
    <t>Piracicaba,São Paulo</t>
  </si>
  <si>
    <t>No reason to believe sources from DRC or covered countries | Brazil, China | No reason to believe sources from DRC or covered countries | No known country of origin</t>
  </si>
  <si>
    <t>RCOI confirmed as per RMI. | 0 | Not disclosed by supplier | Some are recycled or scrap sourced but not all.</t>
  </si>
  <si>
    <t>RCOI confirmed as per RMI. | Does not source from DRC or covered countries | Indonesia, Argentina, Australia, Austria, Belgium, Bolivia, Brazil, Cambodia, Canada, Chile, China, Colombia, Ivory Coast, Czech Republic, Djibouti, Ecuador, Egypt, Estonia, Ethiopia, France, Germany, Guyana, Hungary, India, Ireland, Israel, Japan, Kazakh | Excludes Covered Countries | INDONESIA; UNKNOWN | Does not source from DRC or covered countries | No known country of origin | 0 | Excludes Covered Countries | Minas gerais | LR | Mineral sourcing LR based on RMAP-RMI's RCOI data</t>
  </si>
  <si>
    <t>Quy Hop,Nghệ An</t>
  </si>
  <si>
    <t>No reason to believe sources from DRC or covered countries | Turkey, Vietnam, Brazil, Recycled/Scrap, Vietnam, | No reason to believe sources from DRC or covered countries | Viet Nam, Turkey, Brazil</t>
  </si>
  <si>
    <t>Tan Quang,Tuyên Quang</t>
  </si>
  <si>
    <t>No reason to believe sources from DRC or covered countries | Vietnam, Indonesia, Vietnam, | No reason to believe sources from DRC or covered countries | Viet Nam, Indonesia</t>
  </si>
  <si>
    <t>No reason to believe sources from DRC or covered countries | Due diligence results pending | No reason to believe sources from DRC or covered countries | Viet Nam, Estonia</t>
  </si>
  <si>
    <t>Tinh Tuc,Cao Bằng</t>
  </si>
  <si>
    <t>No reason to believe sources from DRC or covered countries | Canada, Vietnam, USA, China, Brazil, Chile, Indonesia, Recycled/Scrap, DRC or an adjoining country (Covered Countries), Malaysia, Vietnam, | No reason to believe sources from DRC or covered countries | Canada, Viet Nam, United States, China, Brazil, Chile</t>
  </si>
  <si>
    <t>Rosario, Cavite</t>
  </si>
  <si>
    <t>RCOI confirmed as per RMI | Recyled/Scrap | Recycled | Recycled, Scrap | 0 | Recycled, Scrap</t>
  </si>
  <si>
    <t>RCOI confirmed as per RMI | Recyled/Scrap | Does not source from DRC or covered countries | Recycled/Scrap Only | Recycled | Philippines, Recycled/Scrap, Canada, Japan, China, Brazil, Malaysia, Bolivia, Peru, Thailand | Does not source from DRC or covered countries | Recycled, Scrap | Canada, China, Philippines, Japan, Brazil, Malaysia, Bolivia, Peru | 0 | Recycled/Scrap Only | R/S | Mineral sourcing R/S</t>
  </si>
  <si>
    <t>Sungailiat, Kepulauan Bangka Belitung</t>
  </si>
  <si>
    <t>RCOI confirmed as per RMI. | Does not source from DRC or covered countries | Argentina, Australia, Austria, Belgium, Bolivia, Brazil, Cambodia, Canada, Chile, China, Colombia, Ivory Coast, Czech Republic, Djibouti, Ecuador, Egypt, Estonia, Ethiopia, France, Germany, Guyana, Hungary, India, Indonesia, Ireland, Israel, Japan, Kazakh | Excludes Covered Countries | Does not source from DRC or covered countries | CFSI Certified | Myanmar, Cambodia, Malaysia, Kazakhstan, Portugal, Austria, Mongolia, Luxembourg, Brazil, Guyana, Korea, Republic of, Chile, Laos, Ecuador, Colombia, Argentina, Hungary, Japan, India, Canada | L1 | Mineral sourcing LR based on RMAP-RMI's RCOI data</t>
  </si>
  <si>
    <t>Ariquemes, Rondônia</t>
  </si>
  <si>
    <t>RCOI confirmed as per RMI. | recycled or scrap; | 0 | Not disclosed by supplier</t>
  </si>
  <si>
    <t>RCOI confirmed as per RMI. | No reason to believe sources from DRC or covered countries | Myanmar, Cambodia, Malaysia, Kazakhstan, Portugal, Austria, Mongolia, Luxembourg, Republic Of Korea, Guyana, Brazil, Chile, Laos, Colombia, Ecuador, Argentina, Hungary, Japan, India, Canada, Belgium, Namibia, China, Peru, Ethiopia, Germany, Russia, Singap | Excludes Covered Countries | MALAYSIA; UNKNOWN; BRAZIL | Does not source from DRC or covered countries | Myanmar, Cambodia, Malaysia, Kazakhstan, Portugal, Mongolia, Austria, Luxembourg, Brazil, Korea, Republic of, Guyana, Chile, Laos, Colombia, Ecuador, Argentina, Hungary, Japan, India, Canada, Belgium, Namibi | L1 | Mineral sourcing L1 based on RMAP-RMI's RCOI data</t>
  </si>
  <si>
    <t>São João Del Rei, Minas Gerais</t>
  </si>
  <si>
    <t>Some are recycled/scrap sourced but not all. | Some are recycled or scrap sourced but not all. | 0 | Not disclosed by supplier | Some are recycled or scrap sourced but not all.</t>
  </si>
  <si>
    <t>Some are recycled/scrap sourced but not all. | Does not source from DRC or covered countries | Argentina, Australia, Austria, Belgium, Bolivia, Brazil, Cambodia, Canada, Chile, China, Colombia, Ivory Coast, Czech Republic, Djibouti, Ecuador, Egypt, Estonia, Ethiopia, France, Germany, Guyana, Hungary, India, Indonesia, Ireland, Israel, Japan, Kazakh | Excludes Covered Countries | UNKNOWN; BRAZIL | Some are recycled or scrap sourced but not all. | Does not source from DRC or covered countries | DRC- Congo (Kinshasa), Myanmar, Cambodia, Malaysia, Kazakhstan, Portugal, Mongolia, Austria, Luxembourg, Korea, Republic of, Guyana, Brazil, Chile, Laos, Col | L1, R/S | Mineral sourcing L1, R/S based on RMAP-RMI's RCOI data</t>
  </si>
  <si>
    <t>Geiju</t>
  </si>
  <si>
    <t>Yunnan Tin Company Limited | Some are recycled/scrap sourced but not all. | Ytcl DaTun tin | China | Yunnan Tin Company, Ltd. | Yunnan WuChang ping tin tin chenzhou mining and metallurgy co., LTD; Yunnan Tin Company Limited; NA; Gejiu Laochang Tin Mine/  Song Shujiao Tin; 个旧老厂锡矿/松树脚锡矿; Recycled, Scrap and mines from Gejiu Laochang Tin Mine/Song Shujiao Tin Mine; China; Yunnan Tin  | Some are recycled, scrap, cover countries or DRC sourced but not all. | Gejiu Laochang Tin Mine/Song Shujiao Tin | 0 | China Yunnan Tin Co Ltd. | RECYCLED | Nondisclosure | / | Recycled, Scrap and mines from Gejiu Laochang Tin Mine/Song Shujiao Tin Mine | Gejiu Laochang Tin Mine/Song Shujiao Tin | From Gejiu Laochang Tin Mine, Song Shujiao Tin Mine</t>
  </si>
  <si>
    <t>CHINA | Some are recycled/scrap sourced but not all. | No reason to believe sources from DRC or covered countries | Myanmar, China, USA, Malaysia, Bolivia, Canada, Belgium, Brazil, Australia, Peru, Ethiopia, Germany, Indonesia, DRC or an adjoining country (Covered Countries), Recycled/Scrap, | Includes Covered Countries | Honghe Hani and Yi Autonomous Prefecture, Yunnan Province GeJiucity DaTun JiaJie Mountain Town | China | CHINA; UNKNOWN | Some are recycled, scrap, cover countries or DRC sourced but not all. | China | Does not source from DRC or covered countries | Myanmar, Hong Kong, United States, Malaysia, Bolivia, Canada, Belgium, China, Brazil, Australia, Peru, Germany, Ethiopia, Indon | RECYCLED | Nondisclosure | the DRC or an adjoining country(covered countries) | L1, CC, DRC, R/S | Mineral sourcing L1, R/S, from China</t>
  </si>
  <si>
    <t>RCOI confirmed as per RMI. | Geiju Mine; CHINA|YUNNAN Gejiu; Yunnan Tin Mine; Gejiu Yunnan | Concentrate Tin | Recycle | Datun Gejiu, Yunnan Gejiu mines | 0 | Recycled, Scrap and mines from Yunnan tin | From Cheng Feng, Gejiu Yunnan | Recycled</t>
  </si>
  <si>
    <t>RCOI confirmed as per RMI. | No reason to believe sources from DRC or covered countries | Recycled/Scrap, Singapore, China, Myanmar, India, Brazil, USA | Excludes Covered Countries | CHINA; UNKNOWN | China | Recycle | China | Does not source from DRC or covered countries | Recycle/Scrap, Singapore, China | 0 | Excludes Covered Countries | L1 | Mineral sourcing L1, from China | Recycled</t>
  </si>
  <si>
    <t>RCOI Confirmed as per CSFI | RCOI confirmed as per RMI. | White Solder; RCOI confirmed per RMI.; White Solder Metalugia e Mineracao LTDA; Ariquemes Rondonia region of Brazil; See Web Site &amp; Conflcit freehttp://www.whitesolder.com.br/index.php/en; Ariquemes, Rodovia; Private Mines in the Ariquemes Rondonia region | Private Mines in the Ariquemes Rondonia region of Brazil | White Solder | See Web Site &amp; Conflcit freehttp://www.whitesolder.com.br/index.php/en | 0</t>
  </si>
  <si>
    <t>RCOI Confirmed as per CSFI | RCOI confirmed as per RMI. | Does not source from DRC or covered countries | China, Brazil, Thailand, Peru, Germany, Myanmar, Cambodia, Malaysia, Kazakhstan, Portugal, Mongolia, Austria, Luxembourg, Republic Of Korea, Guyana, Chile, Laos, Ecuador, Argentina, Hungary, Japan, India, Canada, Belgium, Namibia, Ethiopia, Russia, Burund | Excludes Covered Countries | UNKNOWN; BRAZIL | Brazil | brazil | Brazil | Does not source from DRC or covered countries | China, Brazil, Thailand, Peru, Germany | 0 | Excludes Covered Countries | the DRC or an adjoining country(covered countries) | L1 | Mineral sourcing L1, from Brazil</t>
  </si>
  <si>
    <t>Geijiu, Yunnan Sheng</t>
  </si>
  <si>
    <t>Some are recycled/scrap sourced but not all. | CHINA | 0 | Recycled, Scrap and mines | Some are recycled or scrap sourced but not all.</t>
  </si>
  <si>
    <t>Some are recycled/scrap sourced but not all. | No reason to believe sources from DRC or covered countries | Singapore, China, USA, Japan, Uzbekistan, United Kingdom, Malaysia, Bolivia, Switzerland, Canada, Belgium, South Africa, Mexico, Australia, Chile, Indonesia, Recycled/Scrap, Peru | Excludes Covered Countries | CHINA; UNKNOWN | Does not source from DRC or covered countries | CHINA | China | 0 | Excludes Covered Countries | L1, R/S | Mineral sourcing L1, R/S based on RMAP-RMI's RCOI data</t>
  </si>
  <si>
    <t>Amphur Muang, Phuket</t>
  </si>
  <si>
    <t>RCOI Confirmed as per CSFI | Some are recycled/scrap, covered countries and DRC sourced but not all. | Tin Mine located at countries stated next cell (No Name of Tin Mine) | Name of Mine(s) is as follows:Bluestone Mine Tasmania in Australia, Kalonta Mine in Dawei, Myanmar, Heinda Mine in Dawei, Myanmar,Panasqueira, Portugal, | Sub-Smelters in Indonesia; PT.BBTS; Thailand-Mine; SMELTING AND REFINING CO | RCOI confirmed as per RMI
PHUKET | Some are recycled, scrap, cover countries or DRC sourced but not all. | 0 | RCOI confirmed as per CFSI | Nondisclosure | Name of Mine(s) is as follows:Bluestone Mine Tasmania in Australia,Kalonta Mine in Dawei, Myanmar, Heinda Mine in Dawei, Myanmar, Panasqueira, Portugal. For tin ingot, we're only source from CFS Compliant Smelters. | PT Sumber Jaya Indah,Bluestone Mine Tasmania,Kalonta Mine,Heinda Mines | RCOI confirmed as per CFSI</t>
  </si>
  <si>
    <t>RCOI Confirmed as per CSFI | Some are recycled/scrap, covered countries and DRC sourced but not all. | Sources from DRC or covered countries | DRC or an adjoining country (Covered Countries), Rwanda, Indonesia, Recycled/Scrap, Thailand, Burundi, Uganda, Myanmar, Portugal, Morocco, Chile, Bolivia, Canada, Brazil, Malaysia, Poland, Peru, Australia, China, Japan, Thialand, Laos, Vietnam, | Includes Covered Countries | Australia, Brazil, Bolivia, China, Laos, Myanmar, Morocco, Peru, Portugal, Vietnam, Rwanda and DRC | Level 1 countries i.e. Indonesia
South America, South East Asia countries
Level 3 countries i.e. DRC and
adjoined countries (including the Democratic Republic of the Congo (DRC), Rwanda, Uganda and Burundi | THAILAND; INDONESIA; RWANDA; UNKNOWN | Thailand | DRC,Burundi,Rwanda,Uganda | Some are recycled, scrap, cover countries or DRC sourced but not all. | Sources from covered countries | Thailand | DRC- Congo (Kinshasa), Myanmar, Angola, Cambodia, Malaysia, Kazakhstan, Portugal, Austria, Mongolia, Morocco, Luxembourg, Guyana, Brazil, K | Nondisclosure | the DRC or an adjoining country(covered countries) | L1, CC, DRC, R/S | Mineral sourcing L1, CC, DRC, R/S from Australia, Brazil, Bolivia, China, Laos, Myanmar, Morocco, Peru, Portugal, Vietnam, Rwanda and DRC | No</t>
  </si>
  <si>
    <t>Bebedouro, São Paulo</t>
  </si>
  <si>
    <t>Some are recyled/scrap sourced but not all. | Some are recycled or scrap sourced but not all. | 0 | Not disclosed by supplier | Recycled, Scrap and mines | Some are recycled or scrap sourced but not all.</t>
  </si>
  <si>
    <t>Some are recyled/scrap sourced but not all. | Does not source from DRC or covered countries | Recycled/Scrap, Austria, Bolivia, Brazil, Burundi, DRC or an adjoining country (Covered Countries), Ethiopia, India, Mozambique, Namibia, Nigeria, Rwanda, Sierra Leone, Zimbabwe, Myanmar, Cambodia, Malaysia, Kazakhstan, Portugal, Mongolia, Luxembourg, Rep | Excludes Covered Countries | UNKNOWN; BRAZIL | Some are recycled or scrap sourced but not all. | Does not source from DRC or covered countries | Myanmar, Cambodia, Malaysia, Kazakhstan, Portugal, Mongolia, Austria, Luxembourg, Korea, Republic of, Brazil, Guyana, Chile, Laos, Colombia, Ecuador, Argenti | L1 | L1, R/S | Mineral sourcing L1, R/S based on RMAP-RMI's RCOI data</t>
  </si>
  <si>
    <t>Taoyuan, Taoyuan</t>
  </si>
  <si>
    <t>Some are recycled/scrap sourced but not all. | recycled | scrap | Recycled | NA | Some are recycled or scrap sourced but not all. | 0 | Recycled | Recycled, Scrap and mines | Some are recycled or scrap sourced but not all.</t>
  </si>
  <si>
    <t>Some are recycled/scrap sourced but not all. | Does not source from DRC or covered countries | Recycled/Scrap, Brazil, China, Japan, DRC or an adjoining country (Covered Countries), Indonesia | Excludes Covered Countries | recycled | scrap | CHINA; UNKNOWN | Recycled | Not Provided | Some are recycled or scrap sourced but not all. | Does not source from covered countries | Does not source from DRC or covered countries | Japan, China, Taiwan, Brazil | 0 | Yes | Excludes Covered Countries | L1, R/S | Mineral sourcing L1, R/S based on RMAP-RMI's RCOI data | Yes</t>
  </si>
  <si>
    <t>Mentok, Kepulauan Bangka Belitung</t>
  </si>
  <si>
    <t>RCOI Confirmed as per CSFI | RCOI confirmed as per RMI. | Indonesia | Bangka Belitung Mines | Indonesia ore (No mine name) | BANGKA - BELITUNG ISLAND MINING AREA; PT TIMAH; PT Timah (Persero) Tbk Mentok; PT TIMAH (Persero) Tbk; Timah; KUNDUR ISLAND MINING AREA; RCOI confirmed per RMI.; Bangka &amp; Belitung Mines; Mentok, Bangka, Beiltung Islands, Indonesia; Bangka &amp; Belitung; Bang | RCOI confirmed as per RMI | Mentok, Bangka, Beiltung Islands, Indonesia | Tin Mine in Indonesia(No Name of Tin Mine) | Bangka &amp; Belitung Mines | 0 | RCOI confirmed as per CFSI | Nondisclosure | Bangka &amp; Belitung Mines | Bangka &amp; Belitung | Banka  &amp; Belitung Mines | From Bangka, Jawa Barat, Various locations in Bangka, Belitung, Karimun, Singkep and Kundur Islands | PT Timah | Nil | RCOI confirmed as per CFSI</t>
  </si>
  <si>
    <t>RCOI Confirmed as per CSFI | RCOI confirmed as per RMI. | Does not source from DRC or covered countries | Indonesia, Recycled/Scrap | Excludes Covered Countries | Indonesia | INDONESIA; UNKNOWN | INDONESIA | Indonesia | Does not source from DRC or covered countries | Myanmar, Cambodia, Malaysia, Kazakhstan, Portugal, Austria, Mongolia, Luxembourg, Brazil, Korea, Republic of, Guyana, Chile, Laos, Ecuador, Colombia, Argentina, Hungary, Japan, India, Canada, Bel | Nondisclosure | L1 | Mineral sourcing LR, Indonesia | No</t>
  </si>
  <si>
    <t>Kundur, Riau</t>
  </si>
  <si>
    <t>Indonesia | RCOI confirmed as per RMI. | Bangka Belitung Mines | Tin Mine in Indonesia(No Name of Tin Mine) | Indonesia ore (No mine name) | PT Pimah; BANGKA - BELITUNG ISLAND MINING AREA; Kundur, Riau Islands, Indonesia; Kep. Riau &amp; Singkep Mines; Mining Concession (KP); Bangka - Belitung area; Kundur &amp; Singkep Mines; PT TIMAH (Persero) Tbk; PT Tambang Timah; PT Timah (Persero) Tbk Kundur; KU | RCOI confirmed as per RMI | PT Timah (Persero) Tbk Kundur | Kundur, Riau Islands, Indonesia | PT Timah (Persero) Tbk Kundur | PT Timah | 0 | RCOI confirmed as per CFSI | Nondisclosure | Kundur &amp; Singkep Mines | From Karimun,Kundur,Singka,Bangka,Belitung | PT Timah (Persero) Tbk Kundur,Singkep,Riau Islands | Nil | RCOI confirmed as per CFSI</t>
  </si>
  <si>
    <t>Indonesia | RCOI confirmed as per RMI. | Does not source from DRC or covered countries | Indonesia, Brazil, Peru, Recycled/Scrap | Excludes Covered Countries | INDONESIA; UNKNOWN | RCOI confirmed as per RMI | INDONESIA | Indonesia | INDONESIA | Does not source from DRC or covered countries | Myanmar, Cambodia, Malaysia, Kazakhstan, Portugal, Austria, Mongolia, Luxembourg, Guyana, Brazil, Korea, Republic of, Chile, Laos, Colombia, Ecuador, Argentina, Hungary, Japan, India, | Nondisclosure | L1 | Mineral sourcing LR, from Indonesia | No</t>
  </si>
  <si>
    <t>PT REFINED BANGKA TIN</t>
  </si>
  <si>
    <t>RCOI confirmed as per RMI. | Tin Mine in Indonesia(No Name of Tin Mine) | PT Refined Bangka Tin | Bangka Island; BANGAKA TIN; INDONESIA; Tin Mine in Indonesia(No Name of Tin Mine); Nondisclosure; Indonesia | INDONESIA | Tin Mine in Indonesia(No Name of Tin Mine) | 0 | RCOI confirmed as per RMI | Nondisclosure | BANGAKA TIN | Not disclosed by supplier | Bangaka Tin | RCOI confirmed as per RMI</t>
  </si>
  <si>
    <t>RCOI confirmed as per RMI. | Does not source from DRC or covered countries | Indonesia, Recycled/Scrap, Myanmar, Cambodia, Malaysia, Kazakhstan, Portugal, Austria, Mongolia, Luxembourg, Republic Of Korea, Brazil, Guyana, Chile, Laos, Ecuador, Colombia, Argentina, Hungary, Japan, India, Canada, Belgium, Namibia, China, Peru, German | Excludes Covered Countries | Indonesia | Pulau Bangka, Bangka Belitung Islands | INDONESIA; UNKNOWN | INDONESIA | Indonesia | Does not source from DRC or covered countries | Myanmar, Cambodia, Malaysia, Kazakhstan, Portugal, Austria, Mongolia, Luxembourg, Brazil, Korea, Republic of, Guyana, Chile, Laos, Ecuador, Colombia, Argentina, Hungary, Japan, India, Canada, Bel | Nondisclosure | L1 | Mineral sourcing LR, from Indonesia | No</t>
  </si>
  <si>
    <t>Blok Mapur-Cit, Blok Bemban Utara, Blok Kepuh Utara | RCOI confirmed as per RMI. | 0; Ore (nameless a mine) in Indonesia | Indonnesia | Recycled | 0 | RCOI confirmed per CFSI. | From Blok Mapur-Cit, Blok Bemban Utara, Blok Kepuh Utara | Tin Mine in Indonesia(No Name of Tin Mine) | RCOI confirmed per CFSI.</t>
  </si>
  <si>
    <t>Kab. Bangka, Indonesia/ Kab. Bangka Tengah, Indonesia | RCOI confirmed as per RMI. | No reason to believe sources from DRC or covered countries | Indonesia, Recycled/Scrap, Chile, Mexico, Myanmar, Cambodia, Malaysia, Kazakhstan, Portugal, Mongolia, Austria, Luxembourg, Republic Of Korea, Brazil, Guyana, Laos, Colombia, Ecuador, Argentina, Hungary, Japan, India, Canada, Belgium, Namibia, China, Peru | Excludes Covered Countries | INDONESIA; UNKNOWN | INDONESIA | No reason to believe sources from DRC or covered countries | Recycled | Myanmar, Cambodia, Malaysia, Kazakhstan, Portugal, Mongolia, Austria, Luxembourg, Brazil, Korea, Republic of, Guyana, Chile, Laos, Ecuador, Colombia, Argentina, Hungary, Japan, India, | L1 | Indonesia | Mineral sourcing LR from Kab. Bangka, Indonesia/ Kab. Bangka Tengah, Indonesia | No</t>
  </si>
  <si>
    <t>RCOI confirmed as per RMI. | RCOI confirmed per RMI.; PT Artha Cipta Langgeng | 0 | RCOI confirmed per CFSI. | Sungailiat, Bangka | Sungailiat | RCOI confirmed per CFSI.</t>
  </si>
  <si>
    <t>RCOI confirmed as per RMI. | Does not source from DRC or covered countries | Indonesia, Myanmar, Cambodia, Malaysia, Kazakhstan, Portugal, Mongolia, Austria, Luxembourg, Republic Of Korea, Guyana, Brazil, Chile, Laos, Colombia, Ecuador, Argentina, Hungary, Japan, India, Canada, Belgium, Namibia, China, Peru, Germany, Ethiopia, Rus | Excludes Covered Countries | INDONESIA; UNKNOWN | Does not source from DRC or covered countries | Myanmar, Cambodia, Malaysia, Kazakhstan, Portugal, Austria, Mongolia, Luxembourg, Korea, Republic of, Brazil, Guyana, Chile, Laos, Ecuador, Colombia, Argentina, Hungary, Japan, India, Canada, Belgium, Namibi | L1 | Mineral sourcing LR from Bangka | No</t>
  </si>
  <si>
    <t>Oruro, Oruro</t>
  </si>
  <si>
    <t>Bolivia  State owned &amp; Private Mines | RCOI confirmed as per RMI. | RCOI confirmed as per CFSI | RCOI confirmed as per RMI | OMSA | Bolivia  State owned &amp; Private Mines | Pacuni Chico (Reg.-No. 26961) - operated by Cooperativa Minera Pacuni Chico Ltda | 0 | RCOI confirmed as per CFSI | From Bolivia  State owned &amp; Private Mines | Not disclosed by supplier</t>
  </si>
  <si>
    <t>Bolivia | RCOI confirmed as per RMI. | Does not source from DRC or covered countries | Bolivia, Indonesia, China, Recycled/Scrap | Excludes Covered Countries | RCOI confirmed as per CFSI | INDONESIA; BOLIVIA (PLURINATIONAL STATE OF); UNKNOWN; BOLIVIA | RCOI confirmed as per RMI | Does not source from DRC or covered countries | Bolivia | La Paz, Inquisivi Province, Quime Bolivia | DRC- Congo (Kinshasa), Myanmar, Cambodia, Malaysia, Kazakhstan, Portugal, Austria, Mongolia, Luxembourg, Brazil, Korea, Republic of, Guyana, Chile, Laos, | L1 | INDONESIA | Mineral sourcing LR based on RMAP-RMI's RCOI data | Verified as compliant with the Conflict-Free Smelter Program (CFSP) assessment protocol. | No</t>
  </si>
  <si>
    <t>Sriracha, Chon Buri</t>
  </si>
  <si>
    <t>Sriracha</t>
  </si>
  <si>
    <t>Recyled/Scrap | Recycled, Scrap | 0 | Recycled, scrap | Recycled, Scrap</t>
  </si>
  <si>
    <t>Recyled/Scrap | Does not source from DRC or covered countries | Thailand, China, DRC or an adjoining country (Covered Countries), Recycled/Scrap, DRC or an adjoining country (Covered Countries), Netherlands, Philippines, USA, Vietnam, Brazil | Recycled/Scrap Only | THAILAND; UNKNOWN | Recycled | Recycled, Scrap | No reason to believe sources from DRC or covered countries | Netherlands, Philippines, China, Thailand | 0 | Recycled/Scrap Only | the DRC or an adjoining country(covered countries) | R/S | Mineral sourcing R/S</t>
  </si>
  <si>
    <t>Some are recycled/scrap sourced but not all. | Does not source from DRC or covered countries | Myanmar, Cambodia, Malaysia, Kazakhstan, Portugal, Austria, Mongolia, Luxembourg, Republic Of Korea, Brazil, Guyana, Chile, Laos, Ecuador, Colombia, Argentina, Hungary, Japan, India, Canada, Belgium, Namibia, China, Peru, Germany, Ethiopia, Russia, Vietna | Excludes Covered Countries | JAPAN; UNKNOWN | Does not source from DRC or covered countries | Some are recycled or scrap sourced but not all. | Russian Federation, China, Bolivia, Portugal | 0 | Excludes Covered Countries | L1, R/S | Mineral sourcing L1, R/S based on RMAP-RMI's RCOI data</t>
  </si>
  <si>
    <t>Recycled scrap material | Recyled/Scrap | Recycled | scrap | BANGAKA TIN; PT.TIMAH | recycled | Recycled, Scrap | 0 | Recycled | Recycled, scrap | BANGAKA TIN | Recycled, Scrap</t>
  </si>
  <si>
    <t>Recycled scrap material | Recyled/Scrap | Does not source from DRC or covered countries | China, Indonesia, Papua New Guinea, Australia, Argentina, Chile, Peru, Canada, Recycled/Scrap, Japan | Recycled/Scrap Only | Recycled | scrap | INDONESIA; JAPAN; UNKNOWN | recycled | Recycled, Scrap | Does not source from covered countries | Does not source from DRC or covered countries | Canada, Papua New Guinea, Japan, Indonesia | 0 | Yes | Recycled/Scrap Only | R/S | INDONESIA | Mineral sourcing R/S | Yes</t>
  </si>
  <si>
    <t>Paracas, Ika</t>
  </si>
  <si>
    <t>RCOI Confirmed as per CSFI | RCOI confirmed as per RMI. | Tin Mine located in Puno region in the eastern cordillera of the Andes | San Rafael Mine | Paracas , Ica; Funsur; Fundición Pisco; Minsur-Mine; San Rafael, Puno; RCOI confirmed as per RMI; San Rafael; Huanui Tin Mining and Colquiri Tin Mining; RCOI confirmed as per CFSI; Minsur; Tin Mine located in Puno region in the eastern cordillera of the A | RCOI confirmed as per RMI | Minsur | San Rafael, Puno - Peru | 0 | RCOI confirmed as per CFSI | Minsur | Recycled, Scrap and mines, from San Rafel Mine, Peru | NA | From San Rafael, Puno | RCOI confirmed as per CFSI</t>
  </si>
  <si>
    <t>RCOI Confirmed as per CSFI | RCOI confirmed as per RMI. | Does not source from DRC or covered countries | Peru, China, Thailand, Malaysia, Recycled/Scrap, Myanmar, Cambodia, Kazakhstan, Portugal, Mongolia, Austria, Luxembourg, Guyana, Republic Of Korea, Brazil, Chile, Laos, Ecuador, Colombia, Argentina, Hungary, Japan, India, Canada, Belgium, Namibia, Ethiopi | Excludes Covered Countries | Peru | UNKNOWN; PERU; BOLIVIA | RCOI confirmed as per RMI | Peru | Puno - Peru | Does not source from DRC or covered countries | Myanmar, Cambodia, Malaysia, Kazakhstan, Portugal, Mongolia, Austria, Luxembourg, Brazil, Korea, Republic of, Guyana, Chile, Laos, Colombia, Ecuador, Argentina, Hungary, Japan, India, Ca | L1 | NA | Mineral sourcing L1, from Peru | No</t>
  </si>
  <si>
    <t>Bairro Guarapiranga, Pirapora do Bom Jesus City, São Paulo</t>
  </si>
  <si>
    <t>Bairro Guarapiranga, Pirapora do Bom Jesus City</t>
  </si>
  <si>
    <t>RCOI Confirmed as per CSFI | RCOI confirmed as per RMI. | RCOI confirmed as per CFSI | From Pitinga, Minercoa Tabboca, A&amp;IR MINING; Tin Mine in Brazil; Mineração Taboca S.A. , Brazil; Pitinga; Patinga- Amazonas, Brazil | RCOI confirmed as per RMI | Pitinga | Minercoa Tabboca | 0 | RCOI confirmed as per CFSI | This column would be traced/certified by RMA program. | From Minerarco Pitinga</t>
  </si>
  <si>
    <t>RCOI Confirmed as per CSFI | RCOI confirmed as per RMI. | Does not source from DRC or covered countries | Brazil, Thailand, China, Argentina, Australia, Austria, Belgium, Bolivia, Cambodia, Canada, Chile, Colombia, Ivory Coast, Czech Republic, Djibouti, Ecuador, Egypt, Estonia, Ethiopia, France, Germany, Guyana, Hungary, India, Indonesia, Ireland, Israel, Jap | Excludes Covered Countries | RCOI confirmed as per CFSI | UNKNOWN; BRAZIL | RCOI confirmed as per RMI | Brazil | brazil | Sao Paulo Brazil | Does not source from covered countries | Does not source from DRC or covered countries | Brazil, Thailand | 0 | No | Verified as compliant with the Conflict-Free Smelter Program (CFSP) assessment protocol. | Excludes Covered Co | This column would be traced/certified by RMA program. | L1 | Mineral sourcing L1 from Brazil | No | Verified as compliant with the Conflict-Free Smelter Program (CFSP) assessment protocol.</t>
  </si>
  <si>
    <t>Twinsburg, Ohio</t>
  </si>
  <si>
    <t>Recycled scrap material | Some are recyled/scrap sourced but not all. | Some are recycled or scrap sourced but not all. | Recycled scrap material | 0 | Recycled, Scrap and mines | Some are recycled or scrap sourced but not all.</t>
  </si>
  <si>
    <t>Recycled scrap material | Some are recyled/scrap sourced but not all. | Does not source from DRC or covered countries | USA, Recycled/Scrap | Excludes Covered Countries | UNITED STATES; UNKNOWN | Does not source from DRC or covered countries | Some are recycled or scrap sourced but not all. | Recycled scrap material | United States | 0 | Excludes Covered Countries | the DRC or an adjoining country(covered countries) | L1, R/S | Mineral sourcing L1, R/S based on RMAP-RMI's RCOI data</t>
  </si>
  <si>
    <t>Butterworth, Pulau Pinang</t>
  </si>
  <si>
    <t>RCOI Confirmed as per CSFI | Some are recycled/scrap, covered countries and DRC sourced but not all. | RHT, Alphamin, Artisanal Mining, Recycle | NO; Information not provided by smelter; owened by Malaysia Smelting Corporation Berhad; Malaysia Smelting Corporation (MSC); Malaysia Smelting Corporation Bhd.; RCOI confirmed as per RMI; Rahman Hydraulic Tin Sdn. Bhd.; Kuala Lumpur; RCOI confirmed as pe | RCOI confirmed as per RMI
owened by Malaysia Smelting Corporation Berhad | various | Some are recycled, scrap, cover countries or DRC sourced but not all. | 0 | RCOI confirmed as per CFSI | RECYCLED | Nondisclosure | owened by Malaysia Smelting Corporation Berhad | RCOI confirmed as per RMI | From Minsur Mining,Rahman Hydraulic Tin Sdn. Bhd. | Rahman Hydraulic Tin Sdn. Bhd. | From Rahman Hydraulic Tin Sdn. Bhd. and various mines | Rwanda and Katanga Mines | RCOI confirmed as per CFSI</t>
  </si>
  <si>
    <t>RCOI Confirmed as per CSFI | Some are recycled/scrap, covered countries and DRC sourced but not all. | Sources from DRC or covered countries | Rwanda, Malaysia, China, DRC or an adjoining country (Covered Countries), Burundi, Uganda, Recycled/Scrap, Indonesia, Australia, Peru, Angola, Myanmar, Angola, Cambodia, Kazakhstan, Austria, Mongolia, Mozambique, Luxembourg, Republic Of Korea, Guyana, Lao | Includes Covered Countries | Malaysia, DRC, DRC/Rwanda/Nigeria, USA/Viet Nam/Malaysia | MALAYSIA; CHINA; RWANDA; UNKNOWN | MALAYSIA | DRC,Burundi,Rwanda,Uganda | various | Some are recycled, scrap, cover countries or DRC sourced but not all. | Sources from covered countries, DRC, Rwanda, Burundi | DRC- Congo (Kinshasa), Myanmar, Angola, Cambodia, Malaysia, Kazakhstan, Mongolia, Austria, Mozambique, Luxembourg, Kor | RECYCLED | Nondisclosure | the DRC or an adjoining country(covered countries) | Malaysia | L1, CC, DRC, R/S | Mineral sourcing L1, CC, DRC, R/S from Burundi,Rwanda,Uganda | Central Africa | Verified as compliant with the Conflict-Free Smelter Program (CFSP) assessment protocol. | No</t>
  </si>
  <si>
    <t>Laibin, Guangxi Zhuangzu Zizhiqu</t>
  </si>
  <si>
    <t>RCOI confirmed as per RMI. | laibin; owened by Malaysia Smelting Corporation Berhad; Guangxi Dachang Mine; Recycled | Tin Mine in Indonesia(No Name of Tin Mine) | Gaofeng,tongkeng | 0 | Tin Mine in Indonesia(No Name of Tim Mine) | From Liuzhou,Laibin,Guangxi | owened by Malaysia Smelting Corporation Berhad | Laibin &amp; Liuzhou China | Tin Mine in Indonesia(No Name of Tim Mine)</t>
  </si>
  <si>
    <t>RCOI confirmed as per RMI. | Does not source from DRC or covered countries | China, Recycled/Scrap, Malaysia, Mexico, Russia, DRC or an adjoining country (Covered Countries), Switzerland, USA, Indonesia, Bolivia, Canada, Brazil, Australia, Japan | Excludes Covered Countries | CHINA; MALAYSIA; UNKNOWN | China | guangxi,china | Does not source from DRC or covered countries | Russian Federation, United States, China, Mexico, Switzerland, Indonesia | 0 | Excludes Covered Countries | L1 | MALAYSIA | Mineral sourcing L1, from China</t>
  </si>
  <si>
    <t>RCOI confirmed as per RMI. | No reason to believe sources from DRC or covered countries | China, Recycled/Scrap, Indonesia, Brazil, Malaysia | Excludes Covered Countries | CHINA; UNKNOWN | China | 0 | Excludes Covered Countries | L1 | Mineral sourcing L1 based on RMAP-RMI's RCOI data</t>
  </si>
  <si>
    <t>RCOI confirmed as per RMI. | Yunnan Gejiu; Gejiu Zili Mining&amp;Smelting Co., Ltd. | 0 | not available | Not disclosed by supplier</t>
  </si>
  <si>
    <t>RCOI confirmed as per RMI. | No reason to believe sources from DRC or covered countries | China, Brazil, Indonesia, Recycled/Scrap, Bolivia, USA | Excludes Covered Countries | CHINA; UNKNOWN | No reason to believe sources from DRC or covered countries | Excludes Covered Countries | China, Brazil, Indonesia | 0 | L1 | Mineral sourcing L1 based on RMAP-RMI's RCOI data</t>
  </si>
  <si>
    <t>Gejiu &amp; Yunnan China | RCOI confirmed as per RMI. | Not DRC | Gejiu Non-Ferrous Metal Processing Co., Ltd.; Yunnan Tin Group (Holding) Company Limited; Nandan; Not DRC; Obtained a declaration  letter form the smelter.; Mines in Gejiu &amp; Yunnan; Gejiu &amp; Yunnan China; /; n.a.; Gejiu Yunnan | Concentrate Tin | Gejiu &amp; Yunnan China | Gejiu Non-Ferrous Metal Processing Co., Ltd. | 0 | CHINA | RECYCLED | Yunnan Gejiu | From Gejiu,Yunnan,Tianshui Longbo | NA | Gejiu Non-Ferrous Metal Processing Co., Ltd. | Gejiu,Yunnan | CHINA</t>
  </si>
  <si>
    <t>China | RCOI confirmed as per RMI. | Does not source from DRC or covered countries | Myanmar, Cambodia, Malaysia, Kazakhstan, Portugal, Mongolia, Austria, Luxembourg, Guyana, Republic Of Korea, Brazil, Chile, Laos, Ecuador, Colombia, Argentina, Hungary, Japan, India, Canada, Belgium, Namibia, China, Peru, Germany, Ethiopia, Russia, Vietna | Excludes Covered Countries | Not DRC | CHINA; UNKNOWN | CHINA | Does not source from DRC or covered countries | China | Myanmar, Cambodia, Malaysia, Kazakhstan, Portugal, Mongolia, Austria, Luxembourg, Brazil, Guyana, Korea, Republic of, Chile, Laos, Colombia, Ecuador, Argentina, Hungary, Japan, India, Canada, Belgium | RECYCLED | L1 | NA | Mineral sourcing L1, from China | Verified as compliant with the Conflict-Free Smelter Program (CFSP) assessment protocol. | No</t>
  </si>
  <si>
    <t>Chmielów, Podkarpackie</t>
  </si>
  <si>
    <t>RCOI confirmed as per RMI. | Recycled, Scrap | recycled | recycled or "scrap" | 0 | Recycled or scrap | Recyled, Scrap, Not disclosed by supplier | Not disclosed by supplier | Recycled or scrap</t>
  </si>
  <si>
    <t>RCOI confirmed as per RMI. | Does not source from DRC or covered countries | Poland, Bolivia, Recycled/Scrap, China, Brazil, Australia, Kazakhstan, Peru, Indonesia | Excludes Covered Countries | Recycled, Scrap Only | recycled | recycled or "scrap" | Does not source from DRC or covered countries | 0 | Yes | Excludes Covered Countries | Mineral sourcing R/S, Bolivia | L1 | Mineral sourcing L1 based on RMAP-RMI's RCOI data | Yes</t>
  </si>
  <si>
    <t>Does not source from DRC or covered countries | Brazil | Does not source from DRC or covered countries | Taiwan, Brazil</t>
  </si>
  <si>
    <t>RCOI confirmed as per RMI. | Huanuni tin mine | Bolivia  State owned &amp; Private Mines | Bolivia  State owned Mine &amp; Private Mines | 0 | Not disclosed by supplier</t>
  </si>
  <si>
    <t>RCOI confirmed as per RMI. | No reason to believe sources from DRC or covered countries | Bolivia, Brazil, China, Canada, Indonesia, Malaysia, Peru, Recycled/Scrap, DRC or an adjoining country (Covered Countries), Myanmar, Cambodia, Kazakhstan, Portugal, Austria, Mongolia, Luxembourg, Guyana, Republic Of Korea, Chile, Laos, Colombia, Ecuador,  | Excludes Covered Countries | Bolivia | Bolivia | No reason to believe sources from DRC or covered countries | DRC- Congo (Kinshasa), Myanmar, Cambodia, Malaysia, Kazakhstan, Portugal, Mongolia, Austria, Luxembourg, Guyana, Brazil, Korea, Republic of, Chile, Laos, Ecuador, Colombia, Argentina,  | L1 | Mineral sourcing L1 based on RMAP-RMI's RCOI data</t>
  </si>
  <si>
    <t>Recyled/Scrap | recycled | Recycled | recycled | Recycled | Recycled, Scrap | 0 | Not disclosed by supplier | Recycled, Scrap and mines | Recycled, Scrap</t>
  </si>
  <si>
    <t>Recyled/Scrap | Does not source from DRC or covered countries | Recycled/Scrap | Recycled/Scrap Only | recycled | Recycled | Recycled | RCOI confirmed as per CFSI | Recycled, Scrap | Does not source from DRC or covered countries | 0 | Yes | Recycled/Scrap Only | Mineral sourcing L1, Not disclosed by supplier | R/S | Mineral sourcing R/S | Yes</t>
  </si>
  <si>
    <t>Altoona, Pennsylvania</t>
  </si>
  <si>
    <t>Some are recycled/scrap sourced but not all. | Recycled | Some are recycled, scrap, cover countries or DRC sourced but not all. | 0 | Some are recycled or scrap sourced but not all. | Recycled, Scrap and mines | Some are recycled, scrap, covered countries or DRC sourced but not all.</t>
  </si>
  <si>
    <t>Some are recycled/scrap sourced but not all. | Does not source from DRC or covered countries | Myanmar, Cambodia, Malaysia, Kazakhstan, Portugal, Austria, Mongolia, Luxembourg, Republic Of Korea, Brazil, Guyana, USA, Chile, Laos, Colombia, Ecuador, Argentina, Hungary, Japan, India, Canada, Belgium, Namibia, China, Peru, Ethiopia, Germany, Russia, S | Includes Covered Countries | UNITED STATES; UNITED STATES OF AMERICA; UNKNOWN | Not coverd countries area | Some are recycled, scrap, cover countries or DRC sourced but not all. | Does not source from DRC or covered countries | 0 | Verified as compliant with the Conflict-Free Smelter Program (CFSP) assessment protocol. | Includes Covered Countries | Mineral sourcing L1,R/S, Some are recycled or scrap sourced but not all. | the DRC or an adjoining country(covered countries) | L1, CC, DRC, R/S | Mineral sourcing R/S, L1, Recycled | Verified as compliant with the Conflict-Free Smelter Program (CFSP) assessment protocol.</t>
  </si>
  <si>
    <t>Some are recycled/scrap sourced but not all. | Hunan Chenzhou | Some are recycled or scrap sourced but not all. | 0 | Recycled, Scrap and mines | Some are recycled or scrap sourced but not all.</t>
  </si>
  <si>
    <t>Some are recycled/scrap sourced but not all. | No reason to believe sources from DRC or covered countries | China, Recycled/Scrap, Vietnam,  Indonesia, Vietnam | Excludes Covered Countries | CHINA; UNKNOWN | Does not source from DRC or covered countries | Some are recycled or scrap sourced but not all. | China | 0 | Excludes Covered Countries | L1, R/S | Mineral sourcing L1, R/S based on RMAP-RMI's RCOI data</t>
  </si>
  <si>
    <t>CRM Synergies</t>
  </si>
  <si>
    <t>Toledo, Toledo</t>
  </si>
  <si>
    <t>CV Ayi Jaya</t>
  </si>
  <si>
    <t>Sungailiat,Kepulauan Bangka Belitung</t>
  </si>
  <si>
    <t>Does not source from DRC or covered countries | Mineral sourcing not disclosed per RMI</t>
  </si>
  <si>
    <t>CV Venus Inti Perkasa</t>
  </si>
  <si>
    <t>Pangkal Pinang, Kepulauan Bangka Belitung</t>
  </si>
  <si>
    <t>Pangkal Pinang</t>
  </si>
  <si>
    <t>Bangka Belitung | Not disclosed by supplier</t>
  </si>
  <si>
    <t>Indonesia | No reason to believe sources from DRC or covered countries | No | Bangka | Mineral sourcing not disclosed per RMI</t>
  </si>
  <si>
    <t>Gejiu Fengming Metallurgy Chemical Plant</t>
  </si>
  <si>
    <t>Some are recycled or scrap sourced but not all.</t>
  </si>
  <si>
    <t>Does not source from DRC or covered countries | Some are recycled or scrap sourced but not all. | Mineral sourcing L1 based on RMAP-RMI's RCOI data</t>
  </si>
  <si>
    <t>Guangxi Zhongshan Jin Yi Smelting Co., Ltd</t>
  </si>
  <si>
    <t>Hunan Xianghualing Tin Co. ltd</t>
  </si>
  <si>
    <t>CHINAHunan</t>
  </si>
  <si>
    <t>Hunan</t>
  </si>
  <si>
    <t>Materials Eco-Refining CO.,LTD</t>
  </si>
  <si>
    <t>985-1 Kuchiganaya, Ikuno-cho</t>
  </si>
  <si>
    <t>Asago city</t>
  </si>
  <si>
    <t>Hyougo, Japan 679-3301</t>
  </si>
  <si>
    <t>Novosibirsk Processing Plant Ltd.</t>
  </si>
  <si>
    <t>Indonesia, Russia, Recycled/Scrap</t>
  </si>
  <si>
    <t>PT Aries Kencana Sejahtera</t>
  </si>
  <si>
    <t>Pemali,Kepulauan Bangka Belitung</t>
  </si>
  <si>
    <t>Pemali</t>
  </si>
  <si>
    <t>Does not source from covered countries | Does not source from DRC or covered countries | Mineral sourcing not disclosed per RMI</t>
  </si>
  <si>
    <t>PT Babel Inti Perkasa</t>
  </si>
  <si>
    <t>Lintang, Kepulauan Bangka Belitung</t>
  </si>
  <si>
    <t>Lintang</t>
  </si>
  <si>
    <t>RCOI confirmed as per CFSI | Not disclosed by supplier</t>
  </si>
  <si>
    <t>Indonesia | Does not source from DRC or covered countries | No | Mineral sourcing not disclosed per RMI</t>
  </si>
  <si>
    <t>PT Babel Surya Alam Lestari</t>
  </si>
  <si>
    <t>Badau, Kepulauan Bangka Belitung</t>
  </si>
  <si>
    <t>Badau</t>
  </si>
  <si>
    <t>RCOI confirmed as per RMI. | Not disclosed by supplier</t>
  </si>
  <si>
    <t>RCOI confirmed as per RMI. | Brazil, China, Indonesia, Recycled/Scrap | Mineral sourcing LR based on RMAP-RMI's RCOI data | Excludes Covered Countries</t>
  </si>
  <si>
    <t>PT Bukit Timah</t>
  </si>
  <si>
    <t>Pangkal Pinang,Kepulauan Bangka Belitung</t>
  </si>
  <si>
    <t>RCOI Confirmed as per CSFI | Pangkal Pinang, Bangka Island Indonesia | RCOI confirmed as per CFSI | Not disclosed by supplier</t>
  </si>
  <si>
    <t>RCOI Confirmed as per CSFI | Indonesia | Does not source from DRC or covered countries | No | Mineral sourcing not disclosed per RMI</t>
  </si>
  <si>
    <t>PT Cipta Persada Mulia</t>
  </si>
  <si>
    <t>Pangkal Pinang,Bangka Belitung</t>
  </si>
  <si>
    <t>Bangka Belitung</t>
  </si>
  <si>
    <t>PT Lautan Harmonis Sejahtera</t>
  </si>
  <si>
    <t>Pasir Putih, Kepulauan Bangka Belitung</t>
  </si>
  <si>
    <t>Pasir Putih</t>
  </si>
  <si>
    <t>PT Menara Cipta Mulia</t>
  </si>
  <si>
    <t>Mentawak, Kepulauan Bangka Belitung</t>
  </si>
  <si>
    <t>Mentawak</t>
  </si>
  <si>
    <t>RCOI confirmed as per RMI. | No reason to believe sources from DRC or covered countries | Australia, Indonesia, China, Recycled/Scrap | Does not source from DRC or covered countries | Excludes Covered Countries | L1 | Mineral sourcing LR based on RMAP-RMI's RCOI data | Excludes Covered Countries</t>
  </si>
  <si>
    <t>PT Prima Timah Utama</t>
  </si>
  <si>
    <t>RCOI confirmed as per RMI. | Does not source from DRC or covered countries | Australia | L1 | Mineral sourcing LR based on RMAP-RMI's RCOI data | Excludes Covered Countries</t>
  </si>
  <si>
    <t>PT Rajawali Rimba Perkasa</t>
  </si>
  <si>
    <t>Tukak Sadai, Bangka Belitung</t>
  </si>
  <si>
    <t>Tukak Sadai</t>
  </si>
  <si>
    <t>RCOI confirmed as per RMI.</t>
  </si>
  <si>
    <t>RCOI confirmed as per RMI. | Due diligence results pending | Excludes Covered Countries</t>
  </si>
  <si>
    <t>PT Rajehan Ariq</t>
  </si>
  <si>
    <t>RCOI confirmed as per RMI. | Myanmar, Cambodia, Malaysia, Kazakhstan, Portugal, Mongolia, Austria, Luxembourg, Brazil, Guyana, Republic Of Korea, Chile, Laos, Ecuador, Colombia, Argentina, Hungary, Japan, India, Canada, Belgium, Namibia, China, Peru, Ethiopia, Germany, Russia, Singap | Does not source from DRC or covered countries | Mineral sourcing not disclosed per RMI | Excludes Covered Countries</t>
  </si>
  <si>
    <t>PT Stanindo Inti Perkasa</t>
  </si>
  <si>
    <t>RCOI Confirmed as per CSFI | Tin Mine in Indonesia(No Name of Tin Mine) | *angkal Pinnang, Bangka | RCOI confirmed as per RMI | RCOI confirmed as per CFSI | Not  disclosed by supplier</t>
  </si>
  <si>
    <t>RCOI Confirmed as per CSFI | Indonesia | RCOI confirmed as per RMI | Does not source from DRC or covered countries | No | Mineral sourcing L1, from Indonesia</t>
  </si>
  <si>
    <t>PT Sukses Inti Makmur</t>
  </si>
  <si>
    <t>Sungai Samak,Kepulauan Bangka Belitung</t>
  </si>
  <si>
    <t>Sungai Samak</t>
  </si>
  <si>
    <t>CFSI Certified | Does not source from DRC or covered countries | Mineral sourcing not disclosed per RMI</t>
  </si>
  <si>
    <t>PT Tinindo Inter Nusa</t>
  </si>
  <si>
    <t>Pangkal Pinang, Bangka Island Indonesia | UT-Mine | BANGAKA TIN | From Bangaka Tin | UT-Mine</t>
  </si>
  <si>
    <t>Indonesia | Does not source from DRC or covered countries | INDONESIA | Mineral sourcing from Indonesia</t>
  </si>
  <si>
    <t>Shangrao Xuri Smelting Factory</t>
  </si>
  <si>
    <t>ShangraoJiangxi</t>
  </si>
  <si>
    <t>Shangrao</t>
  </si>
  <si>
    <t>Jiangxi</t>
  </si>
  <si>
    <t>VQB Mineral and Trading Group JSC</t>
  </si>
  <si>
    <t>Hanoi，Ha Noi</t>
  </si>
  <si>
    <t>Hanoi</t>
  </si>
  <si>
    <t>Araquari, Santa Catarina</t>
  </si>
  <si>
    <t>Sao Paulo, São Paulo</t>
  </si>
  <si>
    <t>Shenzhen, Guangdong Sheng</t>
  </si>
  <si>
    <t>Kopeysk, Chelyabinskaya Oblast'</t>
  </si>
  <si>
    <t>Kirovgrad, Sverdlovskaya oblast'</t>
  </si>
  <si>
    <t>Fangliao, Pingtung</t>
  </si>
  <si>
    <t>Recyled/Scrap | Does not source from DRC or covered countries | Due diligence results pending | Recycled/Scrap Only | No known country of origin | 0 | Mineral sourcing R/S based on RMAP-RMI's RCOI data | Recycled/Scrap Only</t>
  </si>
  <si>
    <t>Longyan, Fujian Sheng</t>
  </si>
  <si>
    <t>RCOI confirmed as per RMI. | 0</t>
  </si>
  <si>
    <t>RCOI confirmed as per RMI. | No reason to believe sources from DRC or covered countries | Due diligence results pending | No known country of origin | 0 | Excludes Covered Countries</t>
  </si>
  <si>
    <t>Siheung-si, Gyeonggi-do</t>
  </si>
  <si>
    <t>Recyled/Scrap | No reason to believe sources from DRC or covered countries | Recycled/Scrap Only | Due diligence results pending | Recycled, Scrap | No known country of origin | 0 | Recycled/Scrap Only | R/S | Mineral sourcing R/S</t>
  </si>
  <si>
    <t>Roshal, Moskovskaja oblast'</t>
  </si>
  <si>
    <t>RCOI confirmed as per RMI. | Does not source from DRC or covered countries | Russia | Does not source from DRC or covered countries | No known country of origin | 0 | LR | Mineral sourcing not disclosed</t>
  </si>
  <si>
    <t>Araçariguama, São Paulo</t>
  </si>
  <si>
    <t>RCOI confirmed as per RMI. | Does not source from DRC or covered countries | Brazil, Japan | Excludes Covered Countries | Does not source from DRC or covered countries | No known country of origin | 0 | Excludes Covered Countries | L1 | Mineral sourcing L1 based on RMAP-RMI's RCOI data</t>
  </si>
  <si>
    <t>RCOI confirmed as per RMI. | No reason to believe sources from DRC or covered countries | China, Thailand | No reason to believe sources from DRC or covered countries | No known country of origin | 0 | L1 | Mineral sourcing not disclosed</t>
  </si>
  <si>
    <t>Marilao, Bulacan</t>
  </si>
  <si>
    <t>Recyled/Scrap | Does not source from DRC or covered countries | Recycled/Scrap, Philippines | Recycled/Scrap Only | Recycled, Scrap | Does not source from DRC or covered countries | No known country of origin | 0 | Recycled/Scrap Only | R/S | Recycled, Scrap | Mineral sourcing R/S</t>
  </si>
  <si>
    <t>Unecha, Bryanskaya oblast'</t>
  </si>
  <si>
    <t>Some are recycled/scrap sourced but not all. | Does not source from DRC or covered countries | Recycled/Scrap, Russia, USA | Excludes Covered Countries | Some are recycled or scrap sourced but not all. | Does not source from DRC or covered countries | No known country of origin | 0 | Excludes Covered Countries | L1 , R/S | Some are recycled or scrap sourced but not all. | Mineral sourcing L1, R/S based on RMAP-RMI's RCOI data</t>
  </si>
  <si>
    <t>Nalchik, Kabardino-Balkarskaya Respublika</t>
  </si>
  <si>
    <t>Some are recyled/scrap, TI-CMC sourced but not all. | Some are recycled or scrap sourced but not all. | 0 | Recycled, Scrap and mines | Some are recycled or scrap sourced but not all.</t>
  </si>
  <si>
    <t>Some are recyled/scrap, TI-CMC sourced but not all. | Does not source from DRC or covered countries | DRC or an adjoining country (Covered Countries), Myanmar, Cambodia, Malaysia, Kazakhstan, Portugal, Austria, Mongolia, Luxembourg, Guyana, Brazil, Republic Of Korea, Chile, Laos, Ecuador, Argentina, Hungary, Japan, India, Canada, Belgium, Namibia, China,  | Excludes Covered Countries | Some are recycled or scrap sourced but not all. | Does not source from DRC or covered countries | DRC- Congo (Kinshasa), Myanmar, Cambodia, Malaysia, Kazakhstan, Portugal, Austria, Mongolia, Luxembourg, Brazil, Guyana, Korea, Republic of, Chile, Laos, Ecu | L1, R/S | Some are recycled or scrap sourced but not all. | Mineral sourcing R/S and Mined not disclosed per RMI</t>
  </si>
  <si>
    <t>RCOI confirmed as per RMI. | 0 | not available | Not disclosed by supplier</t>
  </si>
  <si>
    <t>RCOI confirmed as per RMI. | No reason to believe sources from DRC or covered countries | China, DRC or an adjoining country (Covered Countries), Canada, Russia, Mozambique, Brazil, Thailand, Australia | Excludes Covered Countries | Excludes Covered Countries | No reason to believe sources from DRC or covered countries | No known country of origin | 0 | L1 | Mineral sourcing L1 based on RMAP-RMI's RCOI data</t>
  </si>
  <si>
    <t>Luoyang, Hunan Sheng</t>
  </si>
  <si>
    <t>Depew, New York</t>
  </si>
  <si>
    <t>Some are recyled/scrap, TI-CMC sourced but not all. | Some are recycled, scrap or cover countries sourced but not all. | 0 | Recycled, Scrap and mines | Some are recycled, scrap or cover countries sourced but not all. | Recycled, Scrap and mines not disclosed by supplier</t>
  </si>
  <si>
    <t>Some are recyled/scrap, TI-CMC sourced but not all. | Sources from DRC or covered countries | Myanmar, Cambodia, Malaysia, Kazakhstan, Portugal, Austria, Mongolia, Luxembourg, Republic Of Korea, Guyana, Brazil, Chile, Laos, Ecuador, Colombia, Argentina, Hungary, Japan, India, Canada, Belgium, Namibia, China, Peru, Germany, Ethiopia, Russia, Vietna | Some are recycled, scrap or cover countries sourced but not all. | Myanmar, Cambodia, Malaysia, Kazakhstan, Portugal, Mongolia, Austria, Luxembourg, Korea, Republic of, Brazil, Guyana, Chile, Laos, Colombia, Ecuador, Argentina, Hungary, Japan, India, Cana | L1, CC, R/S | Some are recycled, scrap or cover countries sourced but not all. | Mineral sourcing R/S and Mined  not disclosed</t>
  </si>
  <si>
    <t>RCOI confirmed as per RMI. | 0 | Not disclosed by supplier | From Jiangwu H.C. Starck Tungsten Products Co,.Ltd.</t>
  </si>
  <si>
    <t>RCOI confirmed as per RMI. | Does not source from DRC or covered countries | China, Japan, USA, Recycled/Scrap | Excludes Covered Countries | Does not source from DRC or covered countries | China | 0 | Excludes Covered Countries | L1 | Mineral sourcing L1</t>
  </si>
  <si>
    <t>Dai Tu, Thái Nguyên</t>
  </si>
  <si>
    <t>Some are recycled/ scrap, high risk countries, covered countries sourced but not all | Some are recycled or scrap sourced but not all. | 0 | Recycled, Scrap and mines | Some are recycled, scrap or cover countries sourced but not all. | Not disclosed by supplier</t>
  </si>
  <si>
    <t>Some are recycled/ scrap, high risk countries, covered countries sourced but not all | No reason to believe sources from DRC or covered countries | Recycled/Scrap, Myanmar, Cambodia, Malaysia, Kazakhstan, Portugal, Austria, Mongolia, Luxembourg, Guyana, Republic Of Korea, Brazil, Chile, Laos, Colombia, Ecuador, Argentina, Hungary, Japan, India, Canada, Belgium, Namibia, China, Peru, Germany, Ethiopia | Includes Covered Countries | Some are recycled or scrap sourced but not all. | No reason to believe sources from DRC or covered countries | Myanmar, Cambodia, Malaysia, Kazakhstan, Portugal, Austria, Mongolia, Luxembourg, Korea, Republic of, Brazil, Guyana, Chile, Laos, Colombia, Ecu | HR, CC, R/S | Some are recycled, scrap or cover countries sourced but not all. | Mineral sourcing HR, CC, R/S based on RMAP-RMI's RCOI data</t>
  </si>
  <si>
    <t>Some are recyled/scrap, TI-CMC sourced but not all. | Some are recycled, scrap or cover countries sourced but not all. | 0 | Recycled, Scrap and mines | Some are recycled, scrap or cover countries sourced but not all. | Some are recycled, scrap or covered countries sourced but not all.</t>
  </si>
  <si>
    <t>Some are recyled/scrap, TI-CMC sourced but not all. | No reason to believe sources from DRC or covered countries | Recycled/Scrap, Australia, Bolivia, Brazil, Burundi, DRC or an adjoining country (Covered Countries), Ethiopia, India, Mozambique, Namibia, Nigeria, Rwanda, Sierra Leone, Zimbabwe, Argentina, Austria, Belgium, Cambodia, Canada, Chile, China, Colombia, Ivo | Includes Covered Countries | Some are recycled, scrap or cover countries sourced but not all. | No reason to believe sources from DRC or covered countries | No known country of origin | 0 | Includes Covered Countries | L1, CC, R/S | Some are recycled, scrap or cover countries sourced but not all. | Mineral sourcing R/S and Mined not disclosed</t>
  </si>
  <si>
    <t>Some are recyled/scrap, TI-CMC sourced but not all. | Raw material is sourced from multiple conflict-free mines globally. Industry standard traceability schemes and other information sources are utilzed. Names and locations of all mines are disclosed to the auditor during the CSI audit. | 0 | R/S, From Talison, Noventa, Tanco, proprietary | Some are recycled or scrap sourced but not all.</t>
  </si>
  <si>
    <t>Some are recyled/scrap, TI-CMC sourced but not all. | No reason to believe sources from DRC or covered countries | Recycled/Scrap, Australia, Bolivia, Canada, Portugal, Russia, Spain, Vietnam,  Myanmar, Cambodia, Malaysia, Kazakhstan, Austria, Mongolia, Mozambique, Luxembourg, Brazil, Republic Of Korea, Guyana, Chile, Laos, Colombia, Ecuador, Argentina, Hungary, Japan | Not coverd countries area | Australia, Bolivia, Canada, Portugal, Russia, Spain, Vietnam | No reason to believe sources from DRC or covered countries | Myanmar, Cambodia, Malaysia, Kazakhstan, Portugal, Austria, Mongolia, Mozambique, Luxembourg, Brazil, Korea, Republic of, Guyana, C | L1, R/S | Some are recycled or scrap sourced but not all. | Mineral sourcing R/S and Mined  from Australia, Bolivia, Canada, Portugal, Russia, Spain, Vietnam.</t>
  </si>
  <si>
    <t>RCOI confirmed as per RMI. | 0 | Recycled, Scrap and mines | Some are recycled or scrap sourced but not all. | Recycled, Scrap and mines not disclosed by supplier</t>
  </si>
  <si>
    <t>China | RCOI confirmed as per RMI. | Does not source from DRC or covered countries | China, Recycled/Scrap, Myanmar, Cambodia, Malaysia, Kazakhstan, Portugal, Austria, Mongolia, Luxembourg, Republic Of Korea, Guyana, Brazil, Chile, Laos, Ecuador, Colombia, Argentina, Hungary, Japan, India, Canada, Belgium, Namibia, Peru, Ethiopia, Germany | Excludes Covered Countries | Does not source from DRC or covered countries | Myanmar, Cambodia, Malaysia, Kazakhstan, Portugal, Austria, Mongolia, Luxembourg, Guyana, Brazil, Korea, Republic of, Chile, Laos, Colombia, Ecuador, Argentina, Hungary, Japan, India, Canada, Belgium, Namibi | LR | Some are recycled or scrap sourced but not all. | Mineral sourcing not disclosed</t>
  </si>
  <si>
    <t>Vinh Bao District, Hai Phong</t>
  </si>
  <si>
    <t>Some are covered countries and DRC sourced but not all. | 0 | not available | Some are sourced from DRC but not all.</t>
  </si>
  <si>
    <t>Some are covered countries and DRC sourced but not all. | Reason to believe sources from the DRC or covered countries | Includes Covered Countries | Myanmar, Angola, Cambodia, Malaysia, Kazakhstan, Portugal, Austria, Mongolia, Luxembourg, Brazil, Guyana, Republic Of Korea, Chile, Laos, Ecuador, Colombia, Argentina, South Sudan, Hungary, Japan, Tanzania, Zambia, DRC or an adjoining country (Covered Cou | Myanmar, Angola, Cambodia, Malaysia, Kazakhstan, Portugal, Austria, Mongolia, Luxembourg, Korea, Republic of, Brazil, Guyana, Chile, Laos, Colombia, Ecuador, Argentina, Hungary, South Sudan, Japan, Tanzania, Zambia, Congo (Brazzaville), India, Canada, Bel | L1, L3, DRC | Mineral sourcing L1, CC, DRC based on RMAP-RMI's RCOI data</t>
  </si>
  <si>
    <t>RCOI Confirmed as per CSFI | RCOI confirmed as per RMI. | 0 | From Ganzhou Haixin Tungsten Products Ltd, Ganzhou Grand Metals Minerals Industry Co,.Ltd.,Dapengshan 2. Ganzhou Grand Sea Metals Minerals Industry  W&amp;Mo Co,.Ltd. Dapengshan | Dapengshan Mining, Simaoao Mining, Piqiaokeng Mining, Ganzhou Grand Sea Metals Minerals Industry  W&amp;Mo Co,.Ltd. | From Ganzhou Grand Metals Minerals Industry Co,.Ltd.and Ganzhou Haixin Tungsten Product Ltd</t>
  </si>
  <si>
    <t>RCOI Confirmed as per CSFI | RCOI confirmed as per RMI. | Does not source from DRC or covered countries | Myanmar, Cambodia, Malaysia, Kazakhstan, Portugal, Austria, Mongolia, Luxembourg, Republic Of Korea, Brazil, Guyana, Chile, Laos, Ecuador, Colombia, Argentina, Hungary, Japan, India, Canada, Belgium, Namibia, China, Peru, Ethiopia, Germany, Russia, Singap | Does not source from DRC or covered countries | Myanmar, Cambodia, Malaysia, Kazakhstan, Portugal, Mongolia, Austria, Luxembourg, Brazil, Guyana, Korea, Republic of, Chile, Laos, Ecuador, Colombia, Argentina, Hungary, Japan, India, Canada, Belgium, Namibi | L1 | CHINA | Mineral sourcing L1, China</t>
  </si>
  <si>
    <t>Xiushui, Jiangxi Sheng</t>
  </si>
  <si>
    <t>RCOI confirmed as per RMI. | Does not source from DRC or covered countries | Myanmar, Cambodia, Malaysia, Kazakhstan, Portugal, Mongolia, Austria, Luxembourg, Guyana, Republic Of Korea, Brazil, Chile, Laos, Ecuador, Argentina, Hungary, Japan, India, Canada, Belgium, Namibia, China, Peru, Ethiopia, Germany, Russia, Vietnam, USA, Eg | Excludes Covered Countries | Does not source from DRC or covered countries | Myanmar, Cambodia, Malaysia, Kazakhstan, Portugal, Austria, Mongolia, Luxembourg, Brazil, Korea, Republic of, Guyana, Chile, Laos, Ecuador, Argentina, Hungary, Japan, India, Canada, Belgium, Namibia, Taiwan, | L1 | Mineral sourcing not disclosed</t>
  </si>
  <si>
    <t>Xiamen, Fujian Sheng</t>
  </si>
  <si>
    <t>Some are recyled/scrap,covered countries, DRC sourced and TI-CMC sourced but not all. | NORTH AMERICAN TUNGSTEN CORP.LTD; Yulu | Some are recycled, scrap, cover countries or DRC sourced but not all. | 0 | Recycled, Scrap and mines, from NORTH AMERICAN TUNGSTEN CORP.LTD,A&amp;IR MINING | Some are recycled, scrap, cover countries or DRC sourced but not all. | NORTH AMERICAN TUNGSTEN CORP.LTD. | Recycled anf mines from NingHua XingLuoKeng Tungsten Mining Co., Ltd, A&amp;IR MINING, NORTH AMERICAN TUNGSTEN CORP.LTD, Yulu</t>
  </si>
  <si>
    <t>Some are recyled/scrap,covered countries, DRC sourced and TI-CMC sourced but not all. | Reason to believe sources from the DRC or covered countries | China, Recycled/Scrap, Russia, Canada, Thailand, DRC or an adjoining country (Covered Countries), Burundi, Rwanda, Niger, Malaysia, Bolivia, Spain, Brazil, Mexico, Australia, Nigeria, USA, Vietnam,  Ethiopia | CANADA; CHINA; UNKNOWN | DRC,Burundi,Rwanda | China, Philippine, Burundi, Russia, Rwanda, Vietnam, scrap | Some are recycled, scrap, cover countries or DRC sourced but not all. | Burundi, Russian Federation, Niger, Rwanda, Malaysia, Thailand, Bolivia, Spain, Canada, China, Brazil, Mexico, Nigeria, Au | the DRC or an adjoining country(covered countries) | DRC, CC, HR, R/S, LR | Some are recycled, scrap, cover countries or DRC sourced but not all. | Canada
Russia | Mineral sourcing R/S, DRC, from China, Russia, Canada | Includes Covered Countries</t>
  </si>
  <si>
    <t>Nanfeng Xiaozhai, Yunnan Sheng</t>
  </si>
  <si>
    <t>RCOI confirmed as per RMI. | No reason to believe sources from DRC or covered countries | Myanmar, Cambodia, Malaysia, Kazakhstan, Portugal, Austria, Mongolia, Luxembourg, Guyana, Republic Of Korea, Brazil, Chile, Laos, Ecuador, Colombia, Argentina, Hungary, Japan, India, Canada, Belgium, Namibia, China, Peru, Ethiopia, Germany, Russia, Vietna | Excludes Covered Countries | Does not source from DRC or covered countries | Myanmar, Cambodia, Malaysia, Kazakhstan, Portugal, Mongolia, Austria, Luxembourg, Brazil, Korea, Republic of, Guyana, Chile, Laos, Colombia, Ecuador, Argentina, Hungary, Japan, India, Canada, Belgium, Namibi | L1 | Mineral sourcing not disclosed</t>
  </si>
  <si>
    <t>Tonggu, Jiangxi Sheng</t>
  </si>
  <si>
    <t>RCOI confirmed as per RMI. | Does not source from DRC or covered countries | China, Republic Of Korea, Kazakhstan | Excludes Covered Countries | Does not source from DRC or covered countries | China, Korea, Republic of | 0 | Excludes Covered Countries | L1 | Mineral sourcing not disclosed</t>
  </si>
  <si>
    <t>RCOI confirmed as per RMI. | 0 | Recycled, Scrap and mines | Not disclosed by supplier</t>
  </si>
  <si>
    <t>RCOI confirmed as per RMI. | Does not source from DRC or covered countries | China, DRC or an adjoining country (Covered Countries), Canada, Russia, Brazil, Malaysia, Australia, Bolivia, Peru, Indonesia, Recycled/Scrap, Japan | Excludes Covered Countries | Does not source from DRC or covered countries | DRC- Congo (Kinshasa), Canada, Russian Federation, China, Brazil, Malaysia, Bolivia, Australia, Peru, Indonesia | 0 | Excludes Covered Countries | L1 | Mineral sourcing L1 based on RMAP-RMI's RCOI data</t>
  </si>
  <si>
    <t>RCOI confirmed as per RMI. | 0 | From Chongyi Weiheng Mining Co.,Ltd/Chongyi Hengchang Co.,Ltd | From Chongyi Weiheng Mining Co.,Ltd/Chongyi Hengch</t>
  </si>
  <si>
    <t>RCOI confirmed as per RMI. | Does not source from DRC or covered countries | Argentina, Papua New Guinea, Singapore, USA, Guinea, Japan, Canada, China, Brazil, Mexico, Chile, Australia, Peru, Recycled/Scrap, Portugal, Spain, Boliva | Does not source from DRC or covered countries | Papua New Guinea, Argentina, Singapore, United States, Guinea, Japan, Canada, China, Brazil, Mexico, Australia, Chile, Peru | 0 | LR | From China</t>
  </si>
  <si>
    <t>Some are recycled/scrap sourced but not all. | No reason to believe sources from DRC or covered countries | Recycled/Scrap, DRC or an adjoining country (Covered Countries), Myanmar, Cambodia, Malaysia, Kazakhstan, Portugal, Austria, Mongolia, Luxembourg, Guyana, Brazil, Republic Of Korea, Chile, Laos, Ecuador, Colombia, Argentina, Hungary, Japan, India, Canada, | Excludes Covered Countries | Does not source from DRC or covered countries | DRC- Congo (Kinshasa), Myanmar, Cambodia, Malaysia, Kazakhstan, Portugal, Austria, Mongolia, Luxembourg, Brazil, Korea, Republic of, Guyana, Chile, Laos, Colombia, Ecuador, Argentina, Hungary, Japan, India,  | L1, R/S | Some are recycled or scrap sourced but not all. | Mineral sourcing L1, R/S based on RMAP-RMI's RCOI data</t>
  </si>
  <si>
    <t>Gao'an, Jiangxi Sheng</t>
  </si>
  <si>
    <t>No reason to believe sources from DRC or covered countries | China, USA | China</t>
  </si>
  <si>
    <t>RCOI Confirmed as per CSFI | Some are recyled/scrap, TI-CMC sourced but not all. | HingHua Xingluokeng Tungsten Mining Co., Ltd | Xianglushan Mine; NingHua Xingluokeng Tungsten Mining Co., Ltd; Zijin Mining Co.,Ltd; Xinxhou Mining Co.,Ltd; NORTH AMERICAN TUNGSTEN CORP.LTD.; Xiamen Tungsten; Luoyang Yulu Mining Co.,Ltd; NINGHUA XINGLUOKENG TUNGSTEN MINING CO., LTD; Ning Hua Xingluoke | Some are recycled or scrap sourced but not all. | 0 | From NinHua Xingluokeng Tungsten Mining Co.,Ltd; Luoyang Yulu Mining Co.,Ltd;Zijin Mining Co.,Ltd;Xianglushan Mine;Xinxhou Mining Co.,Ltd | Some are recycled or scrap sourced but not all. | Ning Hua Xingluokeng Tungsten Mining Co.,Ltd Luoy,Luoyang Yulu Mining Co.,Ltd,Zijin Mining Co.,Ltd,Xinxhou Mining Co.,Ltd,</t>
  </si>
  <si>
    <t>RCOI Confirmed as per CSFI | Some are recyled/scrap, TI-CMC sourced but not all. | No reason to believe sources from DRC or covered countries | China, Canada, Australia, Bolivia, Brazil, Russia, Portugal, USA, Nigeria, Thailand, Spain, Vietnam,  Rwanda, Niger, Mexico, Peru, Germany, Japan, Recycled/Scrap | China | CANADA; CHINA; UNKNOWN | China,Russia,Canada | Some are recycled or scrap sourced but not all. | Does not source from DRC or covered countries | DRC- Congo (Kinshasa), Myanmar, Cambodia, Malaysia, Kazakhstan, Portugal, Austria, Mongolia, Luxembourg, Korea, Republic of, Brazil, Guyana, Chile, Laos, Ecu | the DRC or an adjoining country(covered countries) | LR, R/S | Some are recycled or scrap sourced but not all. | Mineral sourcing R/S, China | Includes Covered Countries</t>
  </si>
  <si>
    <t>St. Martin i-S, Steiermark</t>
  </si>
  <si>
    <t>Some are recyled/scrap,covered countries, and TI-CMC sourced but not all. | Mittersil | Some are recycled, scrap or cover countries sourced but not all. | 0 | Recycled, Scrap and mines | Some are recycled, scrap, cover countries or DRC sourced but not all. | Recycled and from Mittersill</t>
  </si>
  <si>
    <t>Some are recyled/scrap,covered countries, and TI-CMC sourced but not all. | Sources from DRC or covered countries | China, Recycled/Scrap, DRC or an adjoining country (Covered Countries), Austria, Australia, Rwanda, Russia, Argentina, Belgium, Bolivia, Brazil, Cambodia, Canada, Chile, Colombia, Ivory Coast, Czech Republic, Djibouti, Ecuador, Egypt, Estonia, Ethiopia, F | Includes Covered Countries | Austria | Some are recycled, scrap or cover countries sourced but not all. | Austria, China, Australia | 0 | Includes Covered Countries | the DRC or an adjoining country(covered countries) | LR, HR, CC, R/S | Some are recycled, scrap, cover countries or DRC sourced but not all. | Mineral sourcing R/S, CC and from Austria</t>
  </si>
  <si>
    <t>Fallon, Nevada</t>
  </si>
  <si>
    <t>Some are recyled/scrap, TI-CMC sourced but not all. | Recycled | Some are recycled, scrap or cover countries sourced but not all. | 0 | Recycled, Scrap and mines | Some are recycled or scrap sourced but not all. | Some are recycled, scrap or covered countries sourced but not all.</t>
  </si>
  <si>
    <t>Some are recyled/scrap, TI-CMC sourced but not all. | Does not source from DRC or covered countries | Recycled/Scrap, USA, Russia, Vietnam, China, Bolivia, Portugal, Indonesia, Mexico, DRC or an adjoining country (Covered Countries) | Includes Covered Countries | Recycled | Some are recycled, scrap or cover countries sourced but not all. | Recycle/Scrap, Russian Federation, Viet Nam, United States, China, Bolivia, Portugal | 0 | Includes Covered Countries | L1, CC, R/S | Some are recycled or scrap sourced but not all. | Mineral sourcing R/S and Mined based on RMAP-RMI's RCOI data</t>
  </si>
  <si>
    <t>Jiangxi Dajichan Tungsten Industry Ltd | RCOI confirmed as per RMI. | Domestic mine, Not Recycle | 0; NA; Jiangxi Dajishan Tungsten Industry Ltd; From Jiangxi Dajichan Tungsten Industry Ltd; Domestic mine. Not, recycle.; Jiangxi Mine; Ganzhou Dajishan Tungsten Mine; Jiangxi Dajichan Tungsten Industry Ltd | 0 | From Jiangxi Dajichan Tungsten Industry Ltd, Ganzhou</t>
  </si>
  <si>
    <t>China | RCOI confirmed as per RMI. | No reason to believe sources from DRC or covered countries | Myanmar, Cambodia, Malaysia, Kazakhstan, Portugal, Mongolia, Austria, Mozambique, Luxembourg, Brazil, Guyana, Republic Of Korea, Chile, Laos, Colombia, Ecuador, Argentina, Hungary, Japan, India, Canada, Belgium, Namibia, China, Peru, Germany, Ethiopia, Ru | Excludes Covered Countries | CHINA; UNKNOWN | Does not source from DRC or covered countries | Myanmar, Cambodia, Malaysia, Kazakhstan, Portugal, Mongolia, Austria, Mozambique, Luxembourg, Brazil, Guyana, Korea, Republic of, Chile, Laos, Colombia, Ecuador, Argentina, Hungary, Japan, India, Canada, Bel | L1 | From China</t>
  </si>
  <si>
    <t>Akita City, Akita</t>
  </si>
  <si>
    <t>Some are recyled/scrap, TI-CMC sourced but not all. | Some are recycled, scrap, cover countries or DRC sourced but not all. | 0 | Recycled, Scrap and mines | Some are recycled, scrap, cover countries or DRC sourced but not all. | Some are recycled, scrap, covered countries or DRC sourced but not all.</t>
  </si>
  <si>
    <t>Some are recyled/scrap, TI-CMC sourced but not all. | Does not source from DRC or covered countries | Recycled/Scrap, Myanmar, Cambodia, Malaysia, Kazakhstan, Portugal, Austria, Mongolia, Luxembourg, Republic Of Korea, Brazil, Guyana, Chile, Laos, Ecuador, Argentina, Hungary, Japan, India, Canada, Belgium, Namibia, China, Peru, Germany, Ethiopia, Russia,  | Includes Covered Countries | Not coverd countries area | Some are recycled, scrap, cover countries or DRC sourced but not all. | Does not source from DRC or covered countries | Myanmar, Cambodia, Malaysia, Kazakhstan, Portugal, Austria, Mongolia, Luxembourg, Korea, Republic of, Brazil, Guyana, Chile, Laos, Ecua | L1, CC, DRC, R/S | Some are recycled, scrap, cover countries or DRC sourced but not all. | Mineral sourcing R/S and Mined based on RMAP-RMI's RCOI data</t>
  </si>
  <si>
    <t>RCOI confirmed as per RMI. | 0 | From 1. Jiangxi Minmetals non-ferrous Pioneer Metals Corporation 2. Hunan Chunchang Nonferrous Metals Co.,Ltd | From:
1. Jiangxi Minmetals non-ferrous Pioneer Metals Corporation
2. Hunan Chunchang Nonferrous Metals Co.,Ltd</t>
  </si>
  <si>
    <t>RCOI confirmed as per RMI. | Does not source from DRC or covered countries | Myanmar, Cambodia, Malaysia, Kazakhstan, Portugal, Mongolia, Austria, Mozambique, Luxembourg, Brazil, Guyana, Republic Of Korea, Chile, Laos, Ecuador, Colombia, Argentina, Hungary, Japan, India, Canada, Belgium, Namibia, China, Peru, Germany, Ethiopia, Ru | China | No reason to believe sources from DRC or covered countries | Myanmar, Cambodia, Malaysia, Kazakhstan, Portugal, Mongolia, Austria, Mozambique, Luxembourg, Brazil, Guyana, Korea, Republic of, Chile, Laos, Ecuador, Colombia, Argentina, Hungary, Japan, India | L1 | Mineral sourcing L1, from China | Excludes Covered Countries</t>
  </si>
  <si>
    <t>RCOI confirmed as per RMI. | Does not source from DRC or covered countries | Canada, Mozambique, China, Australia, Switzerland, Myanmar, Cambodia, Malaysia, Kazakhstan, Portugal, Austria, Mongolia, Luxembourg, Brazil, Guyana, Republic Of Korea, Chile, Laos, Ecuador, Colombia, Argentina, Hungary, Japan, India, Belgium, Namibia, Per | Excludes Covered Countries | Does not source from DRC or covered countries | Myanmar, Cambodia, Malaysia, Kazakhstan, Portugal, Austria, Mongolia, Luxembourg, Guyana, Brazil, Korea, Republic of, Chile, Laos, Colombia, Ecuador, Argentina, Hungary, Japan, India, Canada, Belgium, Namibi | L1 | Mineral sourcing L1 based on RMAP-RMI's RCOI data</t>
  </si>
  <si>
    <t>Towanda, Pennsylvania</t>
  </si>
  <si>
    <t>Some are recyled/scrap,covered countries, and TI-CMC sourced but not all. | NA | Some are recycled, scrap or cover countries sourced but not all. | Towanda | 0 | Recycled, Scrap, from Global Tungsten &amp; Powders Corp. | Some are recycled, scrap or cover countries sourced but not all. | 2. Ganzhou Haixin Tungsten Product Ltd</t>
  </si>
  <si>
    <t>Some are recyled/scrap,covered countries, and TI-CMC sourced but not all. | Sources from DRC or covered countries | Myanmar, Cambodia, Malaysia, Kazakhstan, Portugal, Austria, Mongolia, Luxembourg, Guyana, Brazil, Republic Of Korea, Chile, Laos, Ecuador, Colombia, Argentina, Hungary, Japan, India, Canada, Belgium, Namibia, China, Peru, Ethiopia, Germany, Russia, Singap | Includes Covered Countries | UNITED STATES; UNKNOWN | Burundi,Rwanda | Some are recycled, scrap or cover countries sourced but not all. | Canada, Peru, Spain, Portugal &amp; Boliva|Pennsylvia, USA | Myanmar, Cambodia, Malaysia, Kazakhstan, Portugal, Mongolia, Austria, Luxembourg, Korea, Republic of, Brazil, Guyana, Chile, Laos,  | L1, CC, R/S | Some are recycled, scrap or cover countries sourced but not all. | Mineral sourcing R/S, CC and Mined based on RMAP-RMI's RCOI data</t>
  </si>
  <si>
    <t>Hezhou,Guangxi Zhuangzu Zizhiqu</t>
  </si>
  <si>
    <t>Taoxikeng Tungsten Industry Mine | RCOI confirmed as per RMI. | Domestic mine, Not Recycle | Taoxikeng Tungsten Industry Mine; Taoxikeng Tungsten Mine; Chongyi Zhangyuan Tungsten Co,.Ltd.; Domestic mine. Not recycle.; Domestic mine. Not, recycle.; From Taoxikeng Tungsten Industry Mine; From Domestic mine. Not recycled | Domestic mine. Not, recycle. | 0 | From Taoxikeng Tungsten Industry Mine</t>
  </si>
  <si>
    <t>China | RCOI confirmed as per RMI. | Does not source from DRC or covered countries | CHINA; UNKNOWN | China | Does not source from DRC or covered countries | DRC- Congo (Kinshasa), Myanmar, Cambodia, Malaysia, Kazakhstan, Portugal, Mongolia, Austria, Luxembourg, Guyana, Korea, Republic of, Brazil, Chile, Laos, Ecuador, Colombia, Argentina, Hungary, India, | L1 | Mineral sourcing L1, from China | Excludes Covered Countries</t>
  </si>
  <si>
    <t>RCOI confirmed as per RMI. | Does not source from DRC or covered countries | China, Myanmar, Cambodia, Malaysia, Kazakhstan, Portugal, Mongolia, Austria, Luxembourg, Brazil, Republic Of Korea, Guyana, Chile, Laos, Colombia, Ecuador, Argentina, Hungary, Japan, India, Canada, Belgium, Namibia, Peru, Germany, Ethiopia, Russia, Vietna | Does not source from DRC or covered countries | Myanmar, Cambodia, Malaysia, Kazakhstan, Portugal, Austria, Mongolia, Luxembourg, Korea, Republic of, Guyana, Brazil, Chile, Laos, Ecuador, Colombia, Argentina, Hungary, Japan, India, Canada, Belgium, Namibi | L1 | Mineral sourcing L1 from China | Excludes Covered Countries</t>
  </si>
  <si>
    <t>Huntsville, Alabama</t>
  </si>
  <si>
    <t>Some are recyled/scrap, TI-CMC sourced but not all. | Not Currently Known | 0 | Not disclosed by supplier | Some are recycled or scrap sourced but not all.</t>
  </si>
  <si>
    <t>Some are recyled/scrap, TI-CMC sourced but not all. | Does not source from DRC or covered countries | Indonesia, Recycled/Scrap | China | Not Currently Known | Myanmar, Cambodia, Malaysia, Kazakhstan, Portugal, Mongolia, Austria, Luxembourg, Guyana, Korea, Republic of, Brazil, Chile, Laos, Colombia, Ecuador, Argentina, Hungary, Japan, India, Canada, Belgium, Namibia, Taiwan, South Africa, P | L1, R/S | Some are recycled or scrap sourced but not all. | Mineral sourcing L1 and Mined based on RMAP-RMI's RCOI data</t>
  </si>
  <si>
    <t>Toyama City, Toyama</t>
  </si>
  <si>
    <t>Some are recyled/scrap, TI-CMC sourced but not all. | 100% Recycle | 0 | Not disclosed by supplier | Some are recycled, scrap or cover countries sourced but not all. | Some are recycled, scrap or covered countries sourced but not all.</t>
  </si>
  <si>
    <t>Some are recyled/scrap, TI-CMC sourced but not all. | Does not source from DRC or covered countries | China, Japan, Indonesia, Recycled/Scrap, USA, Portugal, Canada, Spain, Peru, Australia | Includes Covered Countries | CHINA; JAPAN; UNKNOWN | China | Does not source from DRC or covered countries | 0 | Includes Covered Countries | the DRC or an adjoining country(covered countries) | L1, CC, R/S | Some are recycled, scrap or cover countries sourced but not all. | Minerals sourcing from R/S and Mined, based on RMAP-RMI's RCOI data</t>
  </si>
  <si>
    <t>BESEEM MINING CO., LTD.</t>
  </si>
  <si>
    <t>Derived the answer from responses of 195 suppliers, out of total 239 suppliers.</t>
  </si>
  <si>
    <t>Derived the answer from responses of 195 suppliers, out of total 239 suppliers. Total of 39 supplier(s) sourced the metal from DRC countries. The following 20 supplier(s) processed the metal through Conformant certified smelter: Analog Devices, Inc., Aptiv, AVX , California Eastern Laboratories, Dialight, Honeywell International , Intel Corporation, Littelfuse, Inc, Microchip, Molex, LLC, Motorola Solution Inc., Murata Electronics, Nexperia B.V., NXP Semiconductors Netherlands B.V., Prysmian Group, Renesas Electronics Corporation, ROHM Co.,Ltd., SEMICONDUCTOR COMPONENTS INDUSTRIES, LLC dba ON SEMICONDUCTOR, Texas Instruments Incorporated, Vishay Intertechnology Inc.. The following 19 supplier(s) processed the metal from one or more smelters that is not currently Conformant certified: 3M, ABB, Bel Power Solutions DBA CUI Inc., Brady Corporation, Emerson Electric Co., Fortive Corporation, FUJITSU SEMICONDUCTOR MEMORY SOLUTION LIMITED, Infineon Technologies AG, KEMET Electronics Corporation, KEMET Electronics Corporation, a subsidiary of KEMET Corporation, MAXIM INTEGRATED, OMEGA Engineering, OMRON Corporation            
, Siemens AG, Silicon Laboratories Inc., STMicroelectronics, Taiyo Yuden, TDK Corporation, Würth Elektronik eiSos GmbH &amp; Co. KG. Please note that the RMAP Conformant list is continually updated.</t>
  </si>
  <si>
    <t>Derived the answer from responses of 195 suppliers, out of total 239 suppliers. Total of 35 supplier(s) sourced the metal from DRC countries. The following 8 supplier(s) processed the metal through Conformant certified smelter: Bel Fuse Inc., HARTING , Infineon Technologies AG, ITW ECS (FORMEX/LINX/LUMEX) (LUMEX), KEMET Electronics Corporation, a subsidiary of KEMET Corporation, Murata Electronics, NXP Semiconductors Netherlands B.V., Renesas Electronics Corporation. The following 27 supplier(s) processed the metal from one or more smelters that is not currently Conformant certified: Analog Devices, Inc., Aptiv, AVX , Bel Power Solutions DBA CUI Inc., Bourns, Inc., Brady Corporation, Dialight, Emerson Electric Co., Fortive Corporation, FUJITSU SEMICONDUCTOR MEMORY SOLUTION LIMITED, Harwin plc, Honeywell International , Intel Corporation, KEMET Electronics Corporation, Microchip, Molex, LLC, Motorola Solution Inc., OMEGA Engineering, OMRON Corporation            
, Prysmian Group, ROTRONIC, Seiko Epson Corporation, SEMICONDUCTOR COMPONENTS INDUSTRIES, LLC dba ON SEMICONDUCTOR, Siemens AG, Texas Instruments Incorporated, Turck Mülheim, Vishay Intertechnology Inc.. Please note that the RMAP Conformant list is continually updated.</t>
  </si>
  <si>
    <t>Derived the answer from responses of 195 suppliers, out of total 239 suppliers. Total of 41 supplier(s) sourced the metal from DRC countries. The following 5 supplier(s) processed the metal through Conformant certified smelter: California Eastern Laboratories, CITIZEN FINEDEVICE CO.,LTD. MIYOTA PLANT, Element Solutions Inc , KEMET Electronics Corporation, a subsidiary of KEMET Corporation, Murata Electronics. The following 36 supplier(s) processed the metal from one or more smelters that is not currently Conformant certified: 3M, ABB, Amphenol Information Communications, and Commercial (AICC), Analog Devices, Inc., Aptiv, AVX , Bel Power Solutions DBA CUI Inc., Brady Corporation, Dialight, Emerson Electric Co., Fortive Corporation, FUJITSU SEMICONDUCTOR MEMORY SOLUTION LIMITED, Honeywell International , Infineon Technologies AG, Intel Corporation, Littelfuse, Inc, MAXIM INTEGRATED, Microchip, Molex, LLC, Motorola Solution Inc., Nexperia B.V., NXP Semiconductors Netherlands B.V., OMEGA Engineering, OMRON Corporation            
, Prysmian Group, Renesas Electronics Corporation, ROHM Co.,Ltd., Seiko Epson Corporation, SEMICONDUCTOR COMPONENTS INDUSTRIES, LLC dba ON SEMICONDUCTOR, Siemens AG, STMicroelectronics, Taiyo Yuden, TDK Corporation, Texas Instruments Incorporated, Vishay Intertechnology Inc., Würth Elektronik eiSos GmbH &amp; Co. KG. Please note that the RMAP Conformant list is continually updated.</t>
  </si>
  <si>
    <t>Derived the answer from responses of 195 suppliers, out of total 239 suppliers. Total of 69 supplier(s) sourced the metal from DRC countries. The following 25 supplier(s) processed the metal through Conformant certified smelter: AVX , California Eastern Laboratories, Caplugs, CITIZEN FINEDEVICE CO.,LTD. MIYOTA PLANT, Element Solutions Inc , Europe Chemi-Con (Deutschland) GmbH (on behalf of Nippon Chemi-con Corporation), HIROSE ELECTRIC CO.,LTD , KOA CORPORATION, Lumberg Connect GmbH, MAXIM INTEGRATED, Murata Electronics, New Japan Radio Co., Ltd., NICHICON CORPORATION, NXP Semiconductors Netherlands B.V., Panasonic Industrial  Devices Sales Company of America, Panasonic Sales Company Name, Samsung Electro_Mechanics, SEALCON LLC, Silicon Laboratories Inc., Stackpole Electronics, Inc., Steward（Foshan）Magnetics Co., Ltd, Sullins Connector Solutions, Sumida America Components Inc., SUSUMU CO., LTD., Texas Instruments Incorporated. The following 44 supplier(s) processed the metal from one or more smelters that is not currently Conformant certified: 3M, ABB, Amphenol Information Communications, and Commercial (AICC), Analog Devices, Inc., Aptiv, Bel Fuse Inc., Bel Power Solutions DBA CUI Inc., Bourns, Inc., Brady Corporation, CONEC Elektronische Bauelemente GmbH, Dialight, Emerson Electric Co., Fortive Corporation, FUJITSU SEMICONDUCTOR MEMORY SOLUTION LIMITED, HARTING , Harwin plc, Honeywell International , Infineon Technologies AG, Intel Corporation, ITW ECS (FORMEX/LINX/LUMEX) (LUMEX), KEMET Electronics Corporation, KEMET Electronics Corporation, a subsidiary of KEMET Corporation, Littelfuse, Inc, Mencom Corporation, Microchip, Molex, LLC, Motorola Solution Inc., Nexperia B.V., OMEGA Engineering, OMRON Corporation            
, Panduit Corp, Prysmian Group, Renesas Electronics Corporation, ROHM Co.,Ltd., ROTRONIC, Seiko Epson Corporation, SEMICONDUCTOR COMPONENTS INDUSTRIES, LLC dba ON SEMICONDUCTOR, Siemens AG, STMicroelectronics, Taiyo Yuden, TDK Corporation, Turck Mülheim, Vishay Intertechnology Inc., Würth Elektronik eiSos GmbH &amp; Co. KG. Please note that the RMAP Conformant list is continually updated.</t>
  </si>
  <si>
    <t>Proteus Industries Inc.</t>
    <phoneticPr fontId="97" type="noConversion"/>
  </si>
  <si>
    <t>Jon Heiner</t>
  </si>
  <si>
    <t>jon@proteusind.com</t>
  </si>
  <si>
    <t>650-943-4102</t>
  </si>
  <si>
    <t>President</t>
  </si>
  <si>
    <t>We are a small company and not in a position to place requirements on large electronic component suppliers.</t>
  </si>
  <si>
    <t>www.proteusind.com/conflict-minerals-policy/</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</si>
</sst>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9"/>
      <name val="宋体"/>
      <family val="3"/>
      <charset val="134"/>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n@proteusin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proteusind.com/conflict-minerals-policy/" TargetMode="External"/><Relationship Id="rId4" Type="http://schemas.openxmlformats.org/officeDocument/2006/relationships/hyperlink" Target="mailto:jon@proteusin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6"/>
  <cols>
    <col min="1" max="1" width="0.90625" style="113" customWidth="1"/>
    <col min="2" max="2" width="8" style="113" customWidth="1"/>
    <col min="3" max="3" width="8.6328125" style="113" customWidth="1"/>
    <col min="4" max="4" width="13" style="215" customWidth="1"/>
    <col min="5" max="5" width="42.36328125" style="113" customWidth="1"/>
    <col min="6" max="6" width="53.36328125" style="113" customWidth="1"/>
    <col min="7" max="7" width="0.90625" style="113" customWidth="1"/>
    <col min="8" max="16384" width="9" style="113"/>
  </cols>
  <sheetData>
    <row r="1" spans="1:7" ht="13.2" thickTop="1">
      <c r="A1" s="9"/>
      <c r="B1" s="10"/>
      <c r="C1" s="10"/>
      <c r="D1" s="207"/>
      <c r="E1" s="10"/>
      <c r="F1" s="10"/>
      <c r="G1" s="11"/>
    </row>
    <row r="2" spans="1:7">
      <c r="A2" s="360"/>
      <c r="B2" s="38" t="s">
        <v>870</v>
      </c>
      <c r="C2" s="36"/>
      <c r="D2" s="208"/>
      <c r="E2" s="3"/>
      <c r="F2" s="36"/>
      <c r="G2" s="34"/>
    </row>
    <row r="3" spans="1:7">
      <c r="A3" s="360"/>
      <c r="B3" s="5" t="s">
        <v>862</v>
      </c>
      <c r="C3" s="6"/>
      <c r="D3" s="209"/>
      <c r="E3" s="3"/>
      <c r="F3" s="6"/>
      <c r="G3" s="34"/>
    </row>
    <row r="4" spans="1:7" ht="15">
      <c r="A4" s="360"/>
      <c r="B4" s="41" t="s">
        <v>872</v>
      </c>
      <c r="C4" s="7"/>
      <c r="D4" s="210"/>
      <c r="E4" s="3"/>
      <c r="F4" s="7"/>
      <c r="G4" s="34"/>
    </row>
    <row r="5" spans="1:7" ht="13.2">
      <c r="A5" s="360"/>
      <c r="B5" s="40" t="s">
        <v>1063</v>
      </c>
      <c r="C5" s="4"/>
      <c r="D5" s="211"/>
      <c r="E5" s="3"/>
      <c r="F5" s="4"/>
      <c r="G5" s="34"/>
    </row>
    <row r="6" spans="1:7">
      <c r="A6" s="360"/>
      <c r="B6" s="8"/>
      <c r="C6" s="8"/>
      <c r="D6" s="212"/>
      <c r="E6" s="8"/>
      <c r="F6" s="8"/>
      <c r="G6" s="34"/>
    </row>
    <row r="7" spans="1:7">
      <c r="A7" s="360"/>
      <c r="B7" s="8"/>
      <c r="C7" s="8"/>
      <c r="D7" s="212"/>
      <c r="E7" s="8"/>
      <c r="F7" s="8"/>
      <c r="G7" s="34"/>
    </row>
    <row r="8" spans="1:7">
      <c r="A8" s="360"/>
      <c r="B8" s="8"/>
      <c r="C8" s="8"/>
      <c r="D8" s="212"/>
      <c r="E8" s="8"/>
      <c r="F8" s="8"/>
      <c r="G8" s="34"/>
    </row>
    <row r="9" spans="1:7">
      <c r="A9" s="360"/>
      <c r="B9" s="363" t="s">
        <v>873</v>
      </c>
      <c r="C9" s="363"/>
      <c r="D9" s="363"/>
      <c r="E9" s="363"/>
      <c r="F9" s="363"/>
      <c r="G9" s="34"/>
    </row>
    <row r="10" spans="1:7" ht="27" customHeight="1">
      <c r="A10" s="360"/>
      <c r="B10" s="364" t="s">
        <v>448</v>
      </c>
      <c r="C10" s="364"/>
      <c r="D10" s="364"/>
      <c r="E10" s="364"/>
      <c r="F10" s="364"/>
      <c r="G10" s="34"/>
    </row>
    <row r="11" spans="1:7" ht="27" customHeight="1">
      <c r="A11" s="360"/>
      <c r="B11" s="365"/>
      <c r="C11" s="365"/>
      <c r="D11" s="365"/>
      <c r="E11" s="365"/>
      <c r="F11" s="365"/>
      <c r="G11" s="34"/>
    </row>
    <row r="12" spans="1:7">
      <c r="A12" s="360"/>
      <c r="B12" s="42" t="s">
        <v>871</v>
      </c>
      <c r="C12" s="43" t="s">
        <v>874</v>
      </c>
      <c r="D12" s="213" t="s">
        <v>875</v>
      </c>
      <c r="E12" s="43" t="s">
        <v>628</v>
      </c>
      <c r="F12" s="43" t="s">
        <v>629</v>
      </c>
      <c r="G12" s="34"/>
    </row>
    <row r="13" spans="1:7" ht="20.399999999999999">
      <c r="A13" s="360"/>
      <c r="B13" s="2">
        <v>1</v>
      </c>
      <c r="C13" s="37" t="s">
        <v>1111</v>
      </c>
      <c r="D13" s="39" t="s">
        <v>899</v>
      </c>
      <c r="E13" s="196" t="s">
        <v>876</v>
      </c>
      <c r="F13" s="196"/>
      <c r="G13" s="34"/>
    </row>
    <row r="14" spans="1:7" ht="30.6">
      <c r="A14" s="360"/>
      <c r="B14" s="2">
        <v>2</v>
      </c>
      <c r="C14" s="37" t="s">
        <v>1111</v>
      </c>
      <c r="D14" s="39" t="s">
        <v>1048</v>
      </c>
      <c r="E14" s="196" t="s">
        <v>540</v>
      </c>
      <c r="F14" s="196" t="s">
        <v>541</v>
      </c>
      <c r="G14" s="34"/>
    </row>
    <row r="15" spans="1:7" ht="89.1" customHeight="1">
      <c r="A15" s="360"/>
      <c r="B15" s="366">
        <v>2.0099999999999998</v>
      </c>
      <c r="C15" s="357" t="s">
        <v>1111</v>
      </c>
      <c r="D15" s="369" t="s">
        <v>2358</v>
      </c>
      <c r="E15" s="197" t="s">
        <v>630</v>
      </c>
      <c r="F15" s="197" t="s">
        <v>633</v>
      </c>
      <c r="G15" s="34"/>
    </row>
    <row r="16" spans="1:7" ht="99" customHeight="1">
      <c r="A16" s="360"/>
      <c r="B16" s="367"/>
      <c r="C16" s="358"/>
      <c r="D16" s="370"/>
      <c r="E16" s="198"/>
      <c r="F16" s="198" t="s">
        <v>631</v>
      </c>
      <c r="G16" s="34"/>
    </row>
    <row r="17" spans="1:7" ht="63" customHeight="1">
      <c r="A17" s="360"/>
      <c r="B17" s="368"/>
      <c r="C17" s="359"/>
      <c r="D17" s="371"/>
      <c r="E17" s="37"/>
      <c r="F17" s="37" t="s">
        <v>632</v>
      </c>
      <c r="G17" s="34"/>
    </row>
    <row r="18" spans="1:7" ht="117" customHeight="1">
      <c r="A18" s="360"/>
      <c r="B18" s="366">
        <v>2.02</v>
      </c>
      <c r="C18" s="357" t="s">
        <v>1111</v>
      </c>
      <c r="D18" s="369" t="s">
        <v>2359</v>
      </c>
      <c r="E18" s="197" t="s">
        <v>449</v>
      </c>
      <c r="F18" s="197" t="s">
        <v>535</v>
      </c>
      <c r="G18" s="34"/>
    </row>
    <row r="19" spans="1:7" ht="71.099999999999994" customHeight="1">
      <c r="A19" s="360"/>
      <c r="B19" s="367"/>
      <c r="C19" s="358"/>
      <c r="D19" s="370"/>
      <c r="E19" s="198" t="s">
        <v>539</v>
      </c>
      <c r="F19" s="198" t="s">
        <v>450</v>
      </c>
      <c r="G19" s="34"/>
    </row>
    <row r="20" spans="1:7" ht="90.75" customHeight="1">
      <c r="A20" s="360"/>
      <c r="B20" s="367"/>
      <c r="C20" s="358"/>
      <c r="D20" s="370"/>
      <c r="E20" s="198"/>
      <c r="F20" s="198" t="s">
        <v>635</v>
      </c>
      <c r="G20" s="34"/>
    </row>
    <row r="21" spans="1:7" ht="74.25" customHeight="1">
      <c r="A21" s="360"/>
      <c r="B21" s="368"/>
      <c r="C21" s="359"/>
      <c r="D21" s="371"/>
      <c r="E21" s="37"/>
      <c r="F21" s="37" t="s">
        <v>634</v>
      </c>
      <c r="G21" s="34"/>
    </row>
    <row r="22" spans="1:7" ht="90" customHeight="1">
      <c r="A22" s="360"/>
      <c r="B22" s="351">
        <v>2.0299999999999998</v>
      </c>
      <c r="C22" s="351" t="s">
        <v>845</v>
      </c>
      <c r="D22" s="354" t="s">
        <v>2360</v>
      </c>
      <c r="E22" s="357" t="s">
        <v>447</v>
      </c>
      <c r="F22" s="197" t="s">
        <v>470</v>
      </c>
      <c r="G22" s="34"/>
    </row>
    <row r="23" spans="1:7" ht="109.5" customHeight="1">
      <c r="A23" s="360"/>
      <c r="B23" s="352"/>
      <c r="C23" s="352"/>
      <c r="D23" s="355"/>
      <c r="E23" s="358"/>
      <c r="F23" s="198" t="s">
        <v>846</v>
      </c>
      <c r="G23" s="34"/>
    </row>
    <row r="24" spans="1:7" ht="74.25" customHeight="1">
      <c r="A24" s="360"/>
      <c r="B24" s="353"/>
      <c r="C24" s="353"/>
      <c r="D24" s="356"/>
      <c r="E24" s="359"/>
      <c r="F24" s="37" t="s">
        <v>446</v>
      </c>
      <c r="G24" s="34"/>
    </row>
    <row r="25" spans="1:7" ht="72" customHeight="1">
      <c r="A25" s="360"/>
      <c r="B25" s="2" t="s">
        <v>468</v>
      </c>
      <c r="C25" s="37" t="s">
        <v>469</v>
      </c>
      <c r="D25" s="39" t="s">
        <v>2361</v>
      </c>
      <c r="E25" s="37" t="s">
        <v>2356</v>
      </c>
      <c r="F25" s="37" t="s">
        <v>471</v>
      </c>
      <c r="G25" s="34"/>
    </row>
    <row r="26" spans="1:7" ht="98.1" customHeight="1">
      <c r="A26" s="360"/>
      <c r="B26" s="348">
        <v>3</v>
      </c>
      <c r="C26" s="366" t="s">
        <v>72</v>
      </c>
      <c r="D26" s="369" t="s">
        <v>2362</v>
      </c>
      <c r="E26" s="357" t="s">
        <v>0</v>
      </c>
      <c r="F26" s="197" t="s">
        <v>66</v>
      </c>
      <c r="G26" s="34"/>
    </row>
    <row r="27" spans="1:7" ht="90" customHeight="1">
      <c r="A27" s="360"/>
      <c r="B27" s="349"/>
      <c r="C27" s="367"/>
      <c r="D27" s="370"/>
      <c r="E27" s="358"/>
      <c r="F27" s="198" t="s">
        <v>61</v>
      </c>
      <c r="G27" s="34"/>
    </row>
    <row r="28" spans="1:7" ht="19.350000000000001" customHeight="1">
      <c r="A28" s="360"/>
      <c r="B28" s="349"/>
      <c r="C28" s="367"/>
      <c r="D28" s="370"/>
      <c r="E28" s="358"/>
      <c r="F28" s="198" t="s">
        <v>62</v>
      </c>
      <c r="G28" s="34"/>
    </row>
    <row r="29" spans="1:7" ht="74.7" customHeight="1">
      <c r="A29" s="360"/>
      <c r="B29" s="349"/>
      <c r="C29" s="367"/>
      <c r="D29" s="370"/>
      <c r="E29" s="358"/>
      <c r="F29" s="198" t="s">
        <v>63</v>
      </c>
      <c r="G29" s="34"/>
    </row>
    <row r="30" spans="1:7" ht="62.7" customHeight="1">
      <c r="A30" s="360"/>
      <c r="B30" s="349"/>
      <c r="C30" s="367"/>
      <c r="D30" s="370"/>
      <c r="E30" s="358"/>
      <c r="F30" s="198" t="s">
        <v>64</v>
      </c>
      <c r="G30" s="34"/>
    </row>
    <row r="31" spans="1:7" ht="81" customHeight="1">
      <c r="A31" s="360"/>
      <c r="B31" s="349"/>
      <c r="C31" s="367"/>
      <c r="D31" s="370"/>
      <c r="E31" s="358"/>
      <c r="F31" s="198" t="s">
        <v>65</v>
      </c>
      <c r="G31" s="34"/>
    </row>
    <row r="32" spans="1:7" ht="48.75" customHeight="1">
      <c r="A32" s="360"/>
      <c r="B32" s="349"/>
      <c r="C32" s="367"/>
      <c r="D32" s="370"/>
      <c r="E32" s="358"/>
      <c r="F32" s="198" t="s">
        <v>68</v>
      </c>
      <c r="G32" s="34"/>
    </row>
    <row r="33" spans="1:7" ht="98.7" customHeight="1">
      <c r="A33" s="360"/>
      <c r="B33" s="349"/>
      <c r="C33" s="367"/>
      <c r="D33" s="370"/>
      <c r="E33" s="358"/>
      <c r="F33" s="198" t="s">
        <v>67</v>
      </c>
      <c r="G33" s="34"/>
    </row>
    <row r="34" spans="1:7" ht="89.1" customHeight="1">
      <c r="A34" s="360"/>
      <c r="B34" s="349"/>
      <c r="C34" s="367"/>
      <c r="D34" s="370"/>
      <c r="E34" s="358"/>
      <c r="F34" s="198" t="s">
        <v>69</v>
      </c>
      <c r="G34" s="34"/>
    </row>
    <row r="35" spans="1:7" ht="29.1" customHeight="1">
      <c r="A35" s="360"/>
      <c r="B35" s="349"/>
      <c r="C35" s="367"/>
      <c r="D35" s="370"/>
      <c r="E35" s="358"/>
      <c r="F35" s="198" t="s">
        <v>70</v>
      </c>
      <c r="G35" s="34"/>
    </row>
    <row r="36" spans="1:7" ht="112.2">
      <c r="A36" s="360"/>
      <c r="B36" s="350"/>
      <c r="C36" s="368"/>
      <c r="D36" s="371"/>
      <c r="E36" s="359"/>
      <c r="F36" s="199" t="s">
        <v>71</v>
      </c>
      <c r="G36" s="34"/>
    </row>
    <row r="37" spans="1:7" ht="102">
      <c r="A37" s="360"/>
      <c r="B37" s="171">
        <v>3.01</v>
      </c>
      <c r="C37" s="172" t="s">
        <v>72</v>
      </c>
      <c r="D37" s="39" t="s">
        <v>2363</v>
      </c>
      <c r="E37" s="200" t="s">
        <v>1351</v>
      </c>
      <c r="F37" s="201" t="s">
        <v>1457</v>
      </c>
      <c r="G37" s="34"/>
    </row>
    <row r="38" spans="1:7" ht="81.599999999999994">
      <c r="A38" s="360"/>
      <c r="B38" s="171">
        <v>3.02</v>
      </c>
      <c r="C38" s="172" t="s">
        <v>1384</v>
      </c>
      <c r="D38" s="39" t="s">
        <v>2364</v>
      </c>
      <c r="E38" s="200" t="s">
        <v>1399</v>
      </c>
      <c r="F38" s="201" t="s">
        <v>1458</v>
      </c>
      <c r="G38" s="34"/>
    </row>
    <row r="39" spans="1:7" ht="81.599999999999994">
      <c r="A39" s="360"/>
      <c r="B39" s="182">
        <v>4</v>
      </c>
      <c r="C39" s="181" t="s">
        <v>1554</v>
      </c>
      <c r="D39" s="39" t="s">
        <v>2365</v>
      </c>
      <c r="E39" s="37" t="s">
        <v>2307</v>
      </c>
      <c r="F39" s="37" t="s">
        <v>1555</v>
      </c>
      <c r="G39" s="34"/>
    </row>
    <row r="40" spans="1:7" ht="40.799999999999997">
      <c r="A40" s="360"/>
      <c r="B40" s="171">
        <v>4.01</v>
      </c>
      <c r="C40" s="181" t="s">
        <v>1554</v>
      </c>
      <c r="D40" s="39" t="s">
        <v>2367</v>
      </c>
      <c r="E40" s="37" t="s">
        <v>2321</v>
      </c>
      <c r="F40" s="37" t="s">
        <v>2326</v>
      </c>
      <c r="G40" s="34"/>
    </row>
    <row r="41" spans="1:7" ht="40.799999999999997">
      <c r="A41" s="360"/>
      <c r="B41" s="171" t="s">
        <v>2354</v>
      </c>
      <c r="C41" s="181" t="s">
        <v>1554</v>
      </c>
      <c r="D41" s="39" t="s">
        <v>2366</v>
      </c>
      <c r="E41" s="37" t="s">
        <v>2357</v>
      </c>
      <c r="F41" s="37" t="s">
        <v>2355</v>
      </c>
      <c r="G41" s="34"/>
    </row>
    <row r="42" spans="1:7" ht="40.799999999999997">
      <c r="A42" s="360"/>
      <c r="B42" s="171" t="s">
        <v>2399</v>
      </c>
      <c r="C42" s="181" t="s">
        <v>1554</v>
      </c>
      <c r="D42" s="39" t="s">
        <v>2406</v>
      </c>
      <c r="E42" s="37" t="s">
        <v>2356</v>
      </c>
      <c r="F42" s="37" t="s">
        <v>2400</v>
      </c>
      <c r="G42" s="34"/>
    </row>
    <row r="43" spans="1:7" ht="112.2">
      <c r="A43" s="360"/>
      <c r="B43" s="193">
        <v>4.0999999999999996</v>
      </c>
      <c r="C43" s="181" t="s">
        <v>2405</v>
      </c>
      <c r="D43" s="194">
        <v>42867</v>
      </c>
      <c r="E43" s="202" t="s">
        <v>2408</v>
      </c>
      <c r="F43" s="37" t="s">
        <v>2407</v>
      </c>
      <c r="G43" s="34"/>
    </row>
    <row r="44" spans="1:7" ht="71.400000000000006">
      <c r="A44" s="360"/>
      <c r="B44" s="193">
        <v>4.2</v>
      </c>
      <c r="C44" s="181" t="s">
        <v>2405</v>
      </c>
      <c r="D44" s="194">
        <v>42704</v>
      </c>
      <c r="E44" s="202" t="s">
        <v>2625</v>
      </c>
      <c r="F44" s="37" t="s">
        <v>2598</v>
      </c>
      <c r="G44" s="34"/>
    </row>
    <row r="45" spans="1:7" ht="132.6">
      <c r="A45" s="360"/>
      <c r="B45" s="243">
        <v>5</v>
      </c>
      <c r="C45" s="181" t="s">
        <v>2405</v>
      </c>
      <c r="D45" s="194">
        <v>42867</v>
      </c>
      <c r="E45" s="202" t="s">
        <v>13032</v>
      </c>
      <c r="F45" s="37" t="s">
        <v>12754</v>
      </c>
      <c r="G45" s="34"/>
    </row>
    <row r="46" spans="1:7" ht="30.6">
      <c r="A46" s="360"/>
      <c r="B46" s="193">
        <v>5.01</v>
      </c>
      <c r="C46" s="181" t="s">
        <v>2405</v>
      </c>
      <c r="D46" s="194">
        <v>42907</v>
      </c>
      <c r="E46" s="202" t="s">
        <v>13052</v>
      </c>
      <c r="F46" s="37" t="s">
        <v>12754</v>
      </c>
      <c r="G46" s="34"/>
    </row>
    <row r="47" spans="1:7" ht="61.2">
      <c r="A47" s="360"/>
      <c r="B47" s="193">
        <v>5.0999999999999996</v>
      </c>
      <c r="C47" s="181" t="s">
        <v>2405</v>
      </c>
      <c r="D47" s="194">
        <v>43070</v>
      </c>
      <c r="E47" s="202" t="s">
        <v>13247</v>
      </c>
      <c r="F47" s="37" t="s">
        <v>13248</v>
      </c>
      <c r="G47" s="34"/>
    </row>
    <row r="48" spans="1:7" ht="51">
      <c r="A48" s="360"/>
      <c r="B48" s="193">
        <v>5.1100000000000003</v>
      </c>
      <c r="C48" s="181" t="s">
        <v>13489</v>
      </c>
      <c r="D48" s="194">
        <v>43217</v>
      </c>
      <c r="E48" s="202" t="s">
        <v>13617</v>
      </c>
      <c r="F48" s="37" t="s">
        <v>13523</v>
      </c>
      <c r="G48" s="34"/>
    </row>
    <row r="49" spans="1:7" ht="51">
      <c r="A49" s="360"/>
      <c r="B49" s="193">
        <v>5.12</v>
      </c>
      <c r="C49" s="181" t="s">
        <v>13489</v>
      </c>
      <c r="D49" s="194">
        <v>43581</v>
      </c>
      <c r="E49" s="202" t="s">
        <v>13617</v>
      </c>
      <c r="F49" s="37" t="s">
        <v>14191</v>
      </c>
      <c r="G49" s="34"/>
    </row>
    <row r="50" spans="1:7" ht="71.400000000000006">
      <c r="A50" s="360"/>
      <c r="B50" s="243">
        <v>6</v>
      </c>
      <c r="C50" s="181" t="s">
        <v>13489</v>
      </c>
      <c r="D50" s="194">
        <v>43964</v>
      </c>
      <c r="E50" s="202" t="s">
        <v>14433</v>
      </c>
      <c r="F50" s="37" t="s">
        <v>14204</v>
      </c>
      <c r="G50" s="34"/>
    </row>
    <row r="51" spans="1:7" ht="40.799999999999997">
      <c r="A51" s="360"/>
      <c r="B51" s="193">
        <v>6.01</v>
      </c>
      <c r="C51" s="181" t="s">
        <v>13489</v>
      </c>
      <c r="D51" s="194">
        <v>43970</v>
      </c>
      <c r="E51" s="202" t="s">
        <v>15503</v>
      </c>
      <c r="F51" s="202" t="s">
        <v>14204</v>
      </c>
      <c r="G51" s="34"/>
    </row>
    <row r="52" spans="1:7" ht="13.2" thickBot="1">
      <c r="A52" s="361"/>
      <c r="B52" s="362" t="str">
        <f ca="1">OFFSET(L!$C$1,MATCH("General"&amp;"Cpy",L!$A:$A,0)-1,SL,,)</f>
        <v>© 2020 Responsible Minerals Initiative. All rights reserved.</v>
      </c>
      <c r="C52" s="362"/>
      <c r="D52" s="362"/>
      <c r="E52" s="362"/>
      <c r="F52" s="362"/>
      <c r="G52" s="35"/>
    </row>
    <row r="53" spans="1:7" ht="13.2"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97"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90625" defaultRowHeight="12.6"/>
  <cols>
    <col min="1" max="1" width="20.6328125" style="76" customWidth="1"/>
    <col min="2" max="2" width="57.08984375" style="76" customWidth="1"/>
    <col min="3" max="16384" width="8.9062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97"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72" workbookViewId="0">
      <selection activeCell="B4794" sqref="B4794"/>
    </sheetView>
  </sheetViews>
  <sheetFormatPr defaultColWidth="8.90625" defaultRowHeight="12.6"/>
  <cols>
    <col min="1" max="1" width="11.08984375" customWidth="1"/>
    <col min="2" max="2" width="25.726562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97"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2.4">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90.2"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6.2">
      <c r="A5" s="125"/>
      <c r="B5" s="114"/>
    </row>
    <row r="6" spans="1:2" ht="32.4">
      <c r="A6" s="124" t="str">
        <f ca="1">OFFSET(L!$C$1,MATCH("Instructions"&amp;ADDRESS(ROW(),COLUMN(),4),L!$A:$A,0)-1,SL,,)</f>
        <v>Instructions for completing Company Information questions (rows 8 - 22).
Provide comments in ENGLISH only</v>
      </c>
      <c r="B6" s="114" t="s">
        <v>1327</v>
      </c>
    </row>
    <row r="7" spans="1:2" ht="16.2">
      <c r="A7" s="294" t="str">
        <f ca="1">OFFSET(L!$C$1,MATCH("Instructions"&amp;ADDRESS(ROW(),COLUMN(),4),L!$A:$A,0)-1,SL,,)</f>
        <v xml:space="preserve">Note:  Entries with (*) are mandatory fields. </v>
      </c>
      <c r="B7" s="114"/>
    </row>
    <row r="8" spans="1:2" ht="32.4">
      <c r="A8" s="121" t="str">
        <f ca="1">OFFSET(L!$C$1,MATCH("Instructions"&amp;ADDRESS(ROW(),COLUMN(),4),L!$A:$A,0)-1,SL,,)</f>
        <v>1. Insert your company's Legal Name.  Please do not use abbreviations. In this field you have the option to add other commercial names, DBAs, etc.</v>
      </c>
      <c r="B8" s="114"/>
    </row>
    <row r="9" spans="1:2" ht="310.2"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2.4">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2.4">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6.2">
      <c r="A15" s="121" t="str">
        <f ca="1">OFFSET(L!$C$1,MATCH("Instructions"&amp;ADDRESS(ROW(),COLUMN(),4),L!$A:$A,0)-1,SL,,)</f>
        <v>8. Insert the telephone number for the contact. This field is mandatory.</v>
      </c>
      <c r="B15" s="114"/>
    </row>
    <row r="16" spans="1:2" ht="48.6">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6.2">
      <c r="A17" s="121" t="str">
        <f ca="1">OFFSET(L!$C$1,MATCH("Instructions"&amp;ADDRESS(ROW(),COLUMN(),4),L!$A:$A,0)-1,SL,,)</f>
        <v>10. Insert the title for the Authorizing person. This field is optional.</v>
      </c>
      <c r="B17" s="114"/>
    </row>
    <row r="18" spans="1:2" ht="32.4">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6.2">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2.4">
      <c r="A21" s="121" t="str">
        <f ca="1">OFFSET(L!$C$1,MATCH("Instructions"&amp;ADDRESS(ROW(),COLUMN(),4),L!$A:$A,0)-1,SL,,)</f>
        <v xml:space="preserve">14. As an example, the user may save the file name as:  companyname-date.xls (date as YYYY-MM-DD).  </v>
      </c>
      <c r="B21" s="114" t="s">
        <v>1327</v>
      </c>
    </row>
    <row r="22" spans="1:2" ht="16.2">
      <c r="A22" s="125"/>
      <c r="B22" s="114"/>
    </row>
    <row r="23" spans="1:2" ht="32.4">
      <c r="A23" s="124" t="str">
        <f ca="1">OFFSET(L!$C$1,MATCH("Instructions"&amp;ADDRESS(ROW(),COLUMN(),4),L!$A:$A,0)-1,SL,,)</f>
        <v>Instructions for completing the eight Due Diligence Questions (rows 24 - 71).
Provide answers in ENGLISH only</v>
      </c>
      <c r="B23" s="114" t="s">
        <v>1327</v>
      </c>
    </row>
    <row r="24" spans="1:2" ht="64.8">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4.8">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2.4">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29.6">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94.4">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81">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4.8">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6.2">
      <c r="A35" s="121" t="str">
        <f ca="1">OFFSET(L!$C$1,MATCH("Instructions"&amp;ADDRESS(ROW(),COLUMN(),4),L!$A:$A,0)-1,SL,,)</f>
        <v>Provide comments in the Comment sections as required to clarify your responses.</v>
      </c>
      <c r="B35" s="114"/>
    </row>
    <row r="36" spans="1:2" ht="16.2">
      <c r="A36" s="125"/>
      <c r="B36" s="114"/>
    </row>
    <row r="37" spans="1:2" ht="48.6">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45.80000000000001">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4.8">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4.8">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81">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62">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62">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45.80000000000001">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9.6">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6.2">
      <c r="A47" s="125"/>
      <c r="B47" s="114"/>
    </row>
    <row r="48" spans="1:2" ht="32.4">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4.8">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2.4">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16.2">
      <c r="A52" s="121" t="str">
        <f ca="1">OFFSET(L!$C$1,MATCH("Instructions"&amp;ADDRESS(ROW(),COLUMN(),4),L!$A:$A,0)-1,SL,,)</f>
        <v>2. Metal (*)   -   Use the pull down menu to select the metal for which you are entering smelter information.  This field is mandatory.</v>
      </c>
      <c r="B52" s="114"/>
    </row>
    <row r="53" spans="1:2" ht="64.8">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4.8">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81">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4.8">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4.8">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4.8">
      <c r="A58" s="121" t="str">
        <f ca="1">OFFSET(L!$C$1,MATCH("Instructions"&amp;ADDRESS(ROW(),COLUMN(),4),L!$A:$A,0)-1,SL,,)</f>
        <v>8. Smelter Street -  Provide the street name on which the smelter is located. This field is optional.</v>
      </c>
      <c r="B58" s="114" t="s">
        <v>1326</v>
      </c>
    </row>
    <row r="59" spans="1:2" ht="32.4">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62">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4.8">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8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7.2">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7.2">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6.2">
      <c r="A67" s="126"/>
      <c r="B67" s="114"/>
    </row>
    <row r="68" spans="1:2" s="28" customFormat="1" ht="34.5" customHeight="1">
      <c r="A68" s="124" t="str">
        <f ca="1">OFFSET(L!$C$1,MATCH("Instructions"&amp;ADDRESS(ROW(),COLUMN(),4),L!$A:$A,0)-1,SL,,)</f>
        <v>TERMS AND CONDITIONS</v>
      </c>
      <c r="B68" s="114"/>
    </row>
    <row r="69" spans="1:2" s="28" customFormat="1" ht="16.2">
      <c r="A69" s="126"/>
      <c r="B69" s="114"/>
    </row>
    <row r="70" spans="1:2" ht="64.8">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29.6">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81">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2.4">
      <c r="A74" s="121"/>
      <c r="B74" s="114" t="s">
        <v>451</v>
      </c>
    </row>
    <row r="75" spans="1:2" ht="16.2">
      <c r="A75" s="121" t="str">
        <f ca="1">OFFSET(L!$C$1,MATCH("General"&amp;"Cpy",L!$A:$A,0)-1,SL,,)</f>
        <v>© 2020 Responsible Minerals Initiative. All rights reserved.</v>
      </c>
      <c r="B75" s="115"/>
    </row>
    <row r="76" spans="1:2" ht="16.2">
      <c r="A76" s="122" t="s">
        <v>1058</v>
      </c>
      <c r="B76" s="115"/>
    </row>
    <row r="77" spans="1:2" ht="16.8"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7"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90625" defaultRowHeight="12.6"/>
  <cols>
    <col min="1" max="1" width="1.6328125" style="113" customWidth="1"/>
    <col min="2" max="2" width="35.6328125" style="113" customWidth="1"/>
    <col min="3" max="3" width="105.6328125" style="113" customWidth="1"/>
    <col min="4" max="5" width="1.6328125" style="113" customWidth="1"/>
    <col min="6" max="6" width="4.6328125" style="113" customWidth="1"/>
    <col min="7" max="7" width="4.90625" style="113" customWidth="1"/>
    <col min="8" max="16384" width="8.90625" style="113"/>
  </cols>
  <sheetData>
    <row r="1" spans="1:5" ht="13.2"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4.2"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13.4">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45.80000000000001">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4.8">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8.6">
      <c r="A10" s="87"/>
      <c r="B10" s="74" t="str">
        <f ca="1">OFFSET(L!$C$1,MATCH("Definitions"&amp;ADDRESS(ROW(),COLUMN(),4),L!$A:$A,0)-1,SL,,)</f>
        <v>DRC</v>
      </c>
      <c r="C10" s="74" t="str">
        <f ca="1">OFFSET(L!$C$1,MATCH("Definitions"&amp;ADDRESS(ROW(),COLUMN(),4),L!$A:$A,0)-1,SL,,)</f>
        <v>Democratic Republic of Congo</v>
      </c>
      <c r="D10" s="376"/>
      <c r="E10" s="128" t="s">
        <v>1335</v>
      </c>
    </row>
    <row r="11" spans="1:5" ht="64.8"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4.8">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29.6">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4.8">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94.4">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62">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6.2">
      <c r="A19" s="87"/>
      <c r="B19" s="74" t="str">
        <f ca="1">OFFSET(L!$C$1,MATCH("Definitions"&amp;ADDRESS(ROW(),COLUMN(),4),L!$A:$A,0)-1,SL,,)</f>
        <v>OECD</v>
      </c>
      <c r="C19" s="74" t="str">
        <f ca="1">OFFSET(L!$C$1,MATCH("Definitions"&amp;ADDRESS(ROW(),COLUMN(),4),L!$A:$A,0)-1,SL,,)</f>
        <v>Organisation for Economic Co-operation and Development</v>
      </c>
      <c r="D19" s="376"/>
      <c r="E19" s="128"/>
    </row>
    <row r="20" spans="1:5" ht="32.4">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6.2">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4.8">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45.8000000000000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81">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64.8">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4.8">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6.9499999999999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6.2">
      <c r="A32" s="87"/>
      <c r="B32" s="375" t="str">
        <f ca="1">OFFSET(L!$C$1,MATCH("General"&amp;"Cpy",L!$A:$A,0)-1,SL,,)</f>
        <v>© 2020 Responsible Minerals Initiative. All rights reserved.</v>
      </c>
      <c r="C32" s="375"/>
      <c r="D32" s="376"/>
      <c r="E32" s="128"/>
    </row>
    <row r="33" spans="1:4" ht="13.2" thickBot="1">
      <c r="A33" s="88"/>
      <c r="B33" s="185"/>
      <c r="C33" s="185"/>
      <c r="D33" s="377"/>
    </row>
    <row r="34" spans="1:4" ht="13.2" thickTop="1"/>
  </sheetData>
  <sheetProtection algorithmName="SHA-512" hashValue="hpb/agFq+Zgl1j5iHsTdjHoQyFSA+OZOR21URiyD6TDaL60ezhptqPd7lp6xCnU/JtNdmwdQ4ajctsD3wHnhwg==" saltValue="DJ2XUoPpkHVCQw9mv1ZHgg==" spinCount="100000" sheet="1" objects="1" scenarios="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7"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topLeftCell="A68" zoomScale="80" zoomScaleNormal="80" zoomScalePageLayoutView="70" workbookViewId="0">
      <selection activeCell="G77" sqref="G77:J77"/>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3" hidden="1" customWidth="1"/>
    <col min="13" max="15" width="4.90625" style="113" hidden="1" customWidth="1"/>
    <col min="16" max="23" width="9.08984375" hidden="1" customWidth="1"/>
    <col min="24" max="24" width="9.08984375" customWidth="1"/>
  </cols>
  <sheetData>
    <row r="1" spans="1:34" ht="16.8" thickTop="1">
      <c r="A1" s="400"/>
      <c r="B1" s="401"/>
      <c r="C1" s="401"/>
      <c r="D1" s="401"/>
      <c r="E1" s="401"/>
      <c r="F1" s="401"/>
      <c r="G1" s="401"/>
      <c r="H1" s="401"/>
      <c r="I1" s="401"/>
      <c r="J1" s="401"/>
      <c r="K1" s="40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03" t="str">
        <f ca="1">OFFSET(L!$C$1,MATCH("Declaration"&amp;ADDRESS(ROW(),COLUMN(),4),L!$A:$A,0)-1,SL,,)</f>
        <v>Conflict Minerals Reporting Template (CMRT)</v>
      </c>
      <c r="E2" s="404"/>
      <c r="F2" s="404"/>
      <c r="G2" s="404"/>
      <c r="H2" s="404"/>
      <c r="I2" s="404"/>
      <c r="J2" s="40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13"/>
      <c r="G3" s="413"/>
      <c r="H3" s="413"/>
      <c r="I3" s="184"/>
      <c r="J3" s="168" t="s">
        <v>15505</v>
      </c>
      <c r="K3" s="47"/>
      <c r="L3" s="139"/>
      <c r="M3" s="130"/>
      <c r="N3" s="130"/>
      <c r="O3" s="131"/>
      <c r="P3" s="144">
        <f>MATCH($D$3,LN,0)</f>
        <v>1</v>
      </c>
    </row>
    <row r="4" spans="1:34" ht="16.2">
      <c r="A4" s="45"/>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7"/>
      <c r="L4" s="141"/>
      <c r="M4" s="130"/>
      <c r="N4" s="130"/>
      <c r="O4" s="131"/>
      <c r="P4" s="12"/>
      <c r="Q4" s="12"/>
      <c r="R4" s="12"/>
      <c r="S4" s="12"/>
      <c r="T4" s="12"/>
      <c r="U4" s="12"/>
      <c r="V4" s="12"/>
      <c r="W4" s="12"/>
      <c r="X4" s="12"/>
      <c r="Y4" s="12"/>
      <c r="Z4" s="12"/>
      <c r="AA4" s="12"/>
      <c r="AB4" s="12"/>
      <c r="AC4" s="12"/>
      <c r="AD4" s="12"/>
      <c r="AE4" s="12"/>
      <c r="AF4" s="12"/>
      <c r="AG4" s="12"/>
      <c r="AH4" s="12"/>
    </row>
    <row r="5" spans="1:34" ht="16.2">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2.4">
      <c r="A6" s="45"/>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6.2">
      <c r="A7" s="45"/>
      <c r="B7" s="418" t="str">
        <f ca="1">OFFSET(L!$C$1,MATCH("Declaration"&amp;ADDRESS(ROW(),COLUMN(),4),L!$A:$A,0)-1,SL,,)</f>
        <v>Company Information</v>
      </c>
      <c r="C7" s="418"/>
      <c r="D7" s="418"/>
      <c r="E7" s="418"/>
      <c r="F7" s="418"/>
      <c r="G7" s="418"/>
      <c r="H7" s="418"/>
      <c r="I7" s="418"/>
      <c r="J7" s="418"/>
      <c r="K7" s="47"/>
      <c r="L7" s="141"/>
      <c r="M7" s="130"/>
      <c r="N7" s="130"/>
      <c r="O7" s="131"/>
      <c r="P7" s="12"/>
      <c r="Q7" s="12"/>
      <c r="R7" s="12"/>
      <c r="S7" s="12"/>
      <c r="T7" s="12"/>
      <c r="U7" s="12"/>
      <c r="V7" s="12"/>
      <c r="W7" s="12"/>
      <c r="X7" s="12"/>
      <c r="Y7" s="12"/>
      <c r="Z7" s="12"/>
      <c r="AA7" s="12"/>
      <c r="AB7" s="12"/>
      <c r="AC7" s="12"/>
      <c r="AD7" s="12"/>
      <c r="AE7" s="12"/>
      <c r="AF7" s="12"/>
      <c r="AG7" s="12"/>
      <c r="AH7" s="12"/>
    </row>
    <row r="8" spans="1:34" ht="16.2">
      <c r="A8" s="49"/>
      <c r="B8" s="86" t="str">
        <f ca="1">OFFSET(L!$C$1,MATCH("Declaration"&amp;ADDRESS(ROW(),COLUMN(),4),L!$A:$A,0)-1,SL,,)</f>
        <v>Company Name (*):</v>
      </c>
      <c r="C8" s="89"/>
      <c r="D8" s="406" t="s">
        <v>16348</v>
      </c>
      <c r="E8" s="407"/>
      <c r="F8" s="407"/>
      <c r="G8" s="407"/>
      <c r="H8" s="407"/>
      <c r="I8" s="407"/>
      <c r="J8" s="408"/>
      <c r="K8" s="50"/>
      <c r="L8" s="141"/>
      <c r="M8" s="130"/>
      <c r="N8" s="130"/>
      <c r="O8" s="131"/>
      <c r="P8" s="12"/>
      <c r="Q8" s="12"/>
      <c r="R8" s="12"/>
      <c r="S8" s="12"/>
      <c r="T8" s="12"/>
      <c r="U8" s="12"/>
      <c r="V8" s="12"/>
      <c r="W8" s="12"/>
      <c r="X8" s="12"/>
      <c r="Y8" s="12"/>
      <c r="Z8" s="12"/>
      <c r="AA8" s="12"/>
      <c r="AB8" s="12"/>
      <c r="AC8" s="12"/>
      <c r="AD8" s="12"/>
      <c r="AE8" s="12"/>
      <c r="AF8" s="12"/>
      <c r="AG8" s="12"/>
      <c r="AH8" s="12"/>
    </row>
    <row r="9" spans="1:34" ht="16.2">
      <c r="A9" s="49"/>
      <c r="B9" s="86" t="str">
        <f ca="1">OFFSET(L!$C$1,MATCH("Declaration"&amp;ADDRESS(ROW(),COLUMN(),4),L!$A:$A,0)-1,SL,,)</f>
        <v>Declaration Scope or Class (*):</v>
      </c>
      <c r="C9" s="89"/>
      <c r="D9" s="415" t="s">
        <v>504</v>
      </c>
      <c r="E9" s="416"/>
      <c r="F9" s="416"/>
      <c r="G9" s="41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700000000000003" customHeight="1">
      <c r="A10" s="49"/>
      <c r="B10" s="419" t="str">
        <f ca="1">OFFSET(L!$C$1,MATCH("Declaration"&amp;ADDRESS(ROW(),COLUMN(),4)&amp;LEFT($D$9,1),L!$A:$A,0)-1,SL,,)</f>
        <v>Description of Scope:</v>
      </c>
      <c r="C10" s="151"/>
      <c r="D10" s="410"/>
      <c r="E10" s="411"/>
      <c r="F10" s="411"/>
      <c r="G10" s="411"/>
      <c r="H10" s="411"/>
      <c r="I10" s="411"/>
      <c r="J10" s="41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6.2">
      <c r="A11" s="49"/>
      <c r="B11" s="420"/>
      <c r="C11" s="151"/>
      <c r="D11" s="429" t="str">
        <f ca="1">IF(D9=Q9,OFFSET(L!$C$1,MATCH("Declaration"&amp;ADDRESS(ROW(),COLUMN(),4),L!$A:$A,0)-1,SL,,),"")</f>
        <v/>
      </c>
      <c r="E11" s="430"/>
      <c r="F11" s="430"/>
      <c r="G11" s="430"/>
      <c r="H11" s="430"/>
      <c r="I11" s="430"/>
      <c r="J11" s="431"/>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0"/>
      <c r="D12" s="392" t="s">
        <v>14249</v>
      </c>
      <c r="E12" s="393"/>
      <c r="F12" s="393"/>
      <c r="G12" s="393"/>
      <c r="H12" s="393"/>
      <c r="I12" s="393"/>
      <c r="J12" s="39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0"/>
      <c r="D13" s="392" t="s">
        <v>14249</v>
      </c>
      <c r="E13" s="393"/>
      <c r="F13" s="393"/>
      <c r="G13" s="393"/>
      <c r="H13" s="393"/>
      <c r="I13" s="393"/>
      <c r="J13" s="39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0"/>
      <c r="D14" s="392" t="s">
        <v>14249</v>
      </c>
      <c r="E14" s="393"/>
      <c r="F14" s="393"/>
      <c r="G14" s="393"/>
      <c r="H14" s="393"/>
      <c r="I14" s="393"/>
      <c r="J14" s="39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0"/>
      <c r="D15" s="392" t="s">
        <v>16349</v>
      </c>
      <c r="E15" s="393"/>
      <c r="F15" s="393"/>
      <c r="G15" s="393"/>
      <c r="H15" s="393"/>
      <c r="I15" s="393"/>
      <c r="J15" s="39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0"/>
      <c r="D16" s="421" t="s">
        <v>16350</v>
      </c>
      <c r="E16" s="422"/>
      <c r="F16" s="422"/>
      <c r="G16" s="422"/>
      <c r="H16" s="422"/>
      <c r="I16" s="422"/>
      <c r="J16" s="42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0"/>
      <c r="D17" s="392" t="s">
        <v>16351</v>
      </c>
      <c r="E17" s="393"/>
      <c r="F17" s="393"/>
      <c r="G17" s="393"/>
      <c r="H17" s="393"/>
      <c r="I17" s="393"/>
      <c r="J17" s="39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0"/>
      <c r="D18" s="392" t="s">
        <v>16349</v>
      </c>
      <c r="E18" s="393"/>
      <c r="F18" s="393"/>
      <c r="G18" s="393"/>
      <c r="H18" s="393"/>
      <c r="I18" s="393"/>
      <c r="J18" s="39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0"/>
      <c r="D19" s="392" t="s">
        <v>16352</v>
      </c>
      <c r="E19" s="393"/>
      <c r="F19" s="393"/>
      <c r="G19" s="393"/>
      <c r="H19" s="393"/>
      <c r="I19" s="393"/>
      <c r="J19" s="39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0"/>
      <c r="D20" s="421" t="s">
        <v>16350</v>
      </c>
      <c r="E20" s="422"/>
      <c r="F20" s="422"/>
      <c r="G20" s="422"/>
      <c r="H20" s="422"/>
      <c r="I20" s="422"/>
      <c r="J20" s="42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v>
      </c>
      <c r="C21" s="163"/>
      <c r="D21" s="386" t="s">
        <v>16351</v>
      </c>
      <c r="E21" s="387"/>
      <c r="F21" s="387"/>
      <c r="G21" s="387"/>
      <c r="H21" s="387"/>
      <c r="I21" s="387"/>
      <c r="J21" s="38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1"/>
      <c r="D22" s="389">
        <v>44315</v>
      </c>
      <c r="E22" s="390"/>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399999999999999">
      <c r="A23" s="52"/>
      <c r="B23" s="92"/>
      <c r="C23" s="20"/>
      <c r="D23" s="426"/>
      <c r="E23" s="42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6.2">
      <c r="A24" s="53"/>
      <c r="B24" s="391" t="str">
        <f ca="1">OFFSET(L!$C$1,MATCH("Declaration"&amp;ADDRESS(ROW(),COLUMN(),4),L!$A:$A,0)-1,SL,,)</f>
        <v>Answer the following questions 1 - 8 based on the declaration scope indicated above</v>
      </c>
      <c r="C24" s="391"/>
      <c r="D24" s="391"/>
      <c r="E24" s="391"/>
      <c r="F24" s="391"/>
      <c r="G24" s="391"/>
      <c r="H24" s="391"/>
      <c r="I24" s="391"/>
      <c r="J24" s="39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Tantalum  (*)</v>
      </c>
      <c r="C26" s="46"/>
      <c r="D26" s="378" t="s">
        <v>498</v>
      </c>
      <c r="E26" s="379"/>
      <c r="F26" s="15"/>
      <c r="G26" s="380" t="s">
        <v>16343</v>
      </c>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ustomHeight="1">
      <c r="A27" s="52"/>
      <c r="B27" s="51" t="str">
        <f ca="1">OFFSET(L!$C$1,MATCH("Declaration"&amp;ADDRESS(ROW(),COLUMN(),4),L!$A:$A,0)-1,SL,,)&amp;P27</f>
        <v>Tin  (*)</v>
      </c>
      <c r="C27" s="46"/>
      <c r="D27" s="378" t="s">
        <v>498</v>
      </c>
      <c r="E27" s="379"/>
      <c r="F27" s="15"/>
      <c r="G27" s="380" t="s">
        <v>16343</v>
      </c>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ustomHeight="1">
      <c r="A28" s="52"/>
      <c r="B28" s="51" t="str">
        <f ca="1">OFFSET(L!$C$1,MATCH("Declaration"&amp;ADDRESS(ROW(),COLUMN(),4),L!$A:$A,0)-1,SL,,)&amp;P28</f>
        <v>Gold  (*)</v>
      </c>
      <c r="C28" s="46"/>
      <c r="D28" s="378" t="s">
        <v>498</v>
      </c>
      <c r="E28" s="379"/>
      <c r="F28" s="15"/>
      <c r="G28" s="380" t="s">
        <v>16343</v>
      </c>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ustomHeight="1">
      <c r="A29" s="52"/>
      <c r="B29" s="51" t="str">
        <f ca="1">OFFSET(L!$C$1,MATCH("Declaration"&amp;ADDRESS(ROW(),COLUMN(),4),L!$A:$A,0)-1,SL,,)&amp;P29</f>
        <v>Tungsten  (*)</v>
      </c>
      <c r="C29" s="46"/>
      <c r="D29" s="378" t="s">
        <v>498</v>
      </c>
      <c r="E29" s="379"/>
      <c r="F29" s="15"/>
      <c r="G29" s="380" t="s">
        <v>16343</v>
      </c>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7" customHeight="1">
      <c r="A31" s="52"/>
      <c r="B31" s="55" t="str">
        <f ca="1">OFFSET(L!$C$1,MATCH("Declaration"&amp;ADDRESS(ROW(),COLUMN(),4),L!$A:$A,0)-1,SL,,)&amp;Q$37</f>
        <v>2) Does any 3TG remain in the product(s)? (*)</v>
      </c>
      <c r="C31" s="13"/>
      <c r="D31" s="385" t="str">
        <f ca="1">D25</f>
        <v>Answer</v>
      </c>
      <c r="E31" s="385"/>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ustomHeight="1">
      <c r="A32" s="52"/>
      <c r="B32" s="51" t="str">
        <f ca="1">B26</f>
        <v>Tantalum  (*)</v>
      </c>
      <c r="C32" s="13"/>
      <c r="D32" s="395" t="s">
        <v>498</v>
      </c>
      <c r="E32" s="396"/>
      <c r="F32" s="58"/>
      <c r="G32" s="380" t="s">
        <v>16343</v>
      </c>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ustomHeight="1">
      <c r="A33" s="52"/>
      <c r="B33" s="51" t="str">
        <f ca="1">B27</f>
        <v>Tin  (*)</v>
      </c>
      <c r="C33" s="13"/>
      <c r="D33" s="378" t="s">
        <v>498</v>
      </c>
      <c r="E33" s="379"/>
      <c r="F33" s="58"/>
      <c r="G33" s="380" t="s">
        <v>16343</v>
      </c>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ustomHeight="1">
      <c r="A34" s="52"/>
      <c r="B34" s="51" t="str">
        <f ca="1">B28</f>
        <v>Gold  (*)</v>
      </c>
      <c r="C34" s="13"/>
      <c r="D34" s="378" t="s">
        <v>498</v>
      </c>
      <c r="E34" s="379"/>
      <c r="F34" s="58"/>
      <c r="G34" s="380" t="s">
        <v>16343</v>
      </c>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ustomHeight="1">
      <c r="A35" s="52"/>
      <c r="B35" s="51" t="str">
        <f ca="1">B29</f>
        <v>Tungsten  (*)</v>
      </c>
      <c r="C35" s="13"/>
      <c r="D35" s="378" t="s">
        <v>498</v>
      </c>
      <c r="E35" s="379"/>
      <c r="F35" s="58"/>
      <c r="G35" s="380" t="s">
        <v>16343</v>
      </c>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85" t="str">
        <f ca="1">D25</f>
        <v>Answer</v>
      </c>
      <c r="E37" s="385"/>
      <c r="F37" s="21"/>
      <c r="G37" s="55" t="str">
        <f ca="1">G25</f>
        <v>Comments</v>
      </c>
      <c r="H37" s="425"/>
      <c r="I37" s="425"/>
      <c r="J37" s="425"/>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Tantalum  (*)</v>
      </c>
      <c r="C38" s="13"/>
      <c r="D38" s="378" t="s">
        <v>498</v>
      </c>
      <c r="E38" s="379"/>
      <c r="F38" s="58"/>
      <c r="G38" s="380" t="s">
        <v>16344</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378" t="s">
        <v>498</v>
      </c>
      <c r="E39" s="379"/>
      <c r="F39" s="58"/>
      <c r="G39" s="380" t="s">
        <v>16347</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378" t="s">
        <v>498</v>
      </c>
      <c r="E40" s="379"/>
      <c r="F40" s="58"/>
      <c r="G40" s="380" t="s">
        <v>16345</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Tungsten  (*)</v>
      </c>
      <c r="C41" s="13"/>
      <c r="D41" s="378" t="s">
        <v>498</v>
      </c>
      <c r="E41" s="379"/>
      <c r="F41" s="58"/>
      <c r="G41" s="380" t="s">
        <v>16346</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7" customHeight="1">
      <c r="A43" s="52"/>
      <c r="B43" s="55" t="str">
        <f ca="1">OFFSET(L!$C$1,MATCH("Declaration"&amp;ADDRESS(ROW(),COLUMN(),4),L!$A:$A,0)-1,SL,,)&amp;Q$37</f>
        <v>4) Do any of the smelters in your supply chain source the 3TG from conflict-affected and high-risk areas? (*)</v>
      </c>
      <c r="C43" s="13"/>
      <c r="D43" s="385" t="str">
        <f ca="1">D25</f>
        <v>Answer</v>
      </c>
      <c r="E43" s="38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498</v>
      </c>
      <c r="E44" s="379"/>
      <c r="F44" s="58"/>
      <c r="G44" s="380" t="s">
        <v>16343</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498</v>
      </c>
      <c r="E45" s="379"/>
      <c r="F45" s="58"/>
      <c r="G45" s="380" t="s">
        <v>16343</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498</v>
      </c>
      <c r="E46" s="379"/>
      <c r="F46" s="58"/>
      <c r="G46" s="380" t="s">
        <v>16343</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498</v>
      </c>
      <c r="E47" s="379"/>
      <c r="F47" s="58"/>
      <c r="G47" s="380" t="s">
        <v>16343</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85" t="str">
        <f ca="1">D25</f>
        <v>Answer</v>
      </c>
      <c r="E49" s="385"/>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ustomHeight="1">
      <c r="A50" s="52"/>
      <c r="B50" s="51" t="str">
        <f ca="1">B38</f>
        <v>Tantalum  (*)</v>
      </c>
      <c r="C50" s="13"/>
      <c r="D50" s="378" t="s">
        <v>499</v>
      </c>
      <c r="E50" s="379"/>
      <c r="F50" s="58"/>
      <c r="G50" s="380" t="s">
        <v>16343</v>
      </c>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ustomHeight="1">
      <c r="A51" s="52"/>
      <c r="B51" s="51" t="str">
        <f ca="1">B39</f>
        <v>Tin  (*)</v>
      </c>
      <c r="C51" s="13"/>
      <c r="D51" s="378" t="s">
        <v>499</v>
      </c>
      <c r="E51" s="379"/>
      <c r="F51" s="58"/>
      <c r="G51" s="380" t="s">
        <v>16343</v>
      </c>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ustomHeight="1">
      <c r="A52" s="52"/>
      <c r="B52" s="51" t="str">
        <f ca="1">B40</f>
        <v>Gold  (*)</v>
      </c>
      <c r="C52" s="13"/>
      <c r="D52" s="378" t="s">
        <v>499</v>
      </c>
      <c r="E52" s="379"/>
      <c r="F52" s="58"/>
      <c r="G52" s="380" t="s">
        <v>16343</v>
      </c>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ustomHeight="1">
      <c r="A53" s="52"/>
      <c r="B53" s="51" t="str">
        <f ca="1">B41</f>
        <v>Tungsten  (*)</v>
      </c>
      <c r="C53" s="13"/>
      <c r="D53" s="378" t="s">
        <v>499</v>
      </c>
      <c r="E53" s="379"/>
      <c r="F53" s="58"/>
      <c r="G53" s="380" t="s">
        <v>16343</v>
      </c>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399999999999999">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7" customHeight="1">
      <c r="A55" s="52"/>
      <c r="B55" s="161" t="str">
        <f ca="1">OFFSET(L!$C$1,MATCH("Declaration"&amp;ADDRESS(ROW(),COLUMN(),4),L!$A:$A,0)-1,SL,,)&amp;Q$37</f>
        <v>6) What percentage of relevant suppliers have provided a response to your supply chain survey?  (*)</v>
      </c>
      <c r="C55" s="13"/>
      <c r="D55" s="385" t="str">
        <f ca="1">D25</f>
        <v>Answer</v>
      </c>
      <c r="E55" s="385"/>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ustomHeight="1">
      <c r="A56" s="52"/>
      <c r="B56" s="51" t="str">
        <f ca="1">B38</f>
        <v>Tantalum  (*)</v>
      </c>
      <c r="C56" s="46"/>
      <c r="D56" s="383" t="s">
        <v>2627</v>
      </c>
      <c r="E56" s="384"/>
      <c r="F56" s="58"/>
      <c r="G56" s="380" t="s">
        <v>16343</v>
      </c>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ustomHeight="1">
      <c r="A57" s="52"/>
      <c r="B57" s="51" t="str">
        <f ca="1">B39</f>
        <v>Tin  (*)</v>
      </c>
      <c r="C57" s="46"/>
      <c r="D57" s="383" t="s">
        <v>2627</v>
      </c>
      <c r="E57" s="384"/>
      <c r="F57" s="58"/>
      <c r="G57" s="380" t="s">
        <v>16343</v>
      </c>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ustomHeight="1">
      <c r="A58" s="52"/>
      <c r="B58" s="51" t="str">
        <f ca="1">B40</f>
        <v>Gold  (*)</v>
      </c>
      <c r="C58" s="46"/>
      <c r="D58" s="383" t="s">
        <v>2627</v>
      </c>
      <c r="E58" s="384"/>
      <c r="F58" s="58"/>
      <c r="G58" s="380" t="s">
        <v>16343</v>
      </c>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ustomHeight="1">
      <c r="A59" s="52"/>
      <c r="B59" s="51" t="str">
        <f ca="1">B41</f>
        <v>Tungsten  (*)</v>
      </c>
      <c r="C59" s="46"/>
      <c r="D59" s="383" t="s">
        <v>2627</v>
      </c>
      <c r="E59" s="384"/>
      <c r="F59" s="58"/>
      <c r="G59" s="380" t="s">
        <v>16343</v>
      </c>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6.2">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 r="A61" s="52"/>
      <c r="B61" s="161" t="str">
        <f ca="1">OFFSET(L!$C$1,MATCH("Declaration"&amp;ADDRESS(ROW(),COLUMN(),4),L!$A:$A,0)-1,SL,,)&amp;Q$37</f>
        <v>7) Have you identified all of the smelters supplying the 3TG to your supply chain?  (*)</v>
      </c>
      <c r="C61" s="13"/>
      <c r="D61" s="385" t="str">
        <f ca="1">D25</f>
        <v>Answer</v>
      </c>
      <c r="E61" s="385"/>
      <c r="F61" s="21"/>
      <c r="G61" s="55" t="str">
        <f ca="1">G25</f>
        <v>Comments</v>
      </c>
      <c r="H61" s="424"/>
      <c r="I61" s="424"/>
      <c r="J61" s="424"/>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ustomHeight="1">
      <c r="A62" s="52"/>
      <c r="B62" s="51" t="str">
        <f ca="1">B38</f>
        <v>Tantalum  (*)</v>
      </c>
      <c r="C62" s="13"/>
      <c r="D62" s="395" t="s">
        <v>499</v>
      </c>
      <c r="E62" s="396"/>
      <c r="F62" s="58"/>
      <c r="G62" s="380" t="s">
        <v>16343</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ustomHeight="1">
      <c r="A63" s="52"/>
      <c r="B63" s="51" t="str">
        <f ca="1">B39</f>
        <v>Tin  (*)</v>
      </c>
      <c r="C63" s="13"/>
      <c r="D63" s="378" t="s">
        <v>499</v>
      </c>
      <c r="E63" s="379"/>
      <c r="F63" s="58"/>
      <c r="G63" s="380" t="s">
        <v>16343</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ustomHeight="1">
      <c r="A64" s="52"/>
      <c r="B64" s="51" t="str">
        <f ca="1">B40</f>
        <v>Gold  (*)</v>
      </c>
      <c r="C64" s="13"/>
      <c r="D64" s="378" t="s">
        <v>499</v>
      </c>
      <c r="E64" s="379"/>
      <c r="F64" s="58"/>
      <c r="G64" s="380" t="s">
        <v>16343</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ustomHeight="1">
      <c r="A65" s="52"/>
      <c r="B65" s="51" t="str">
        <f ca="1">B41</f>
        <v>Tungsten  (*)</v>
      </c>
      <c r="C65" s="13"/>
      <c r="D65" s="378" t="s">
        <v>499</v>
      </c>
      <c r="E65" s="379"/>
      <c r="F65" s="58"/>
      <c r="G65" s="380" t="s">
        <v>16343</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6.2">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 r="A67" s="52"/>
      <c r="B67" s="55" t="str">
        <f ca="1">OFFSET(L!$C$1,MATCH("Declaration"&amp;ADDRESS(ROW(),COLUMN(),4),L!$A:$A,0)-1,SL,,)&amp;Q$37</f>
        <v>8) Has all applicable smelter information received by your company been reported in this declaration?  (*)</v>
      </c>
      <c r="C67" s="13"/>
      <c r="D67" s="385" t="str">
        <f ca="1">D25</f>
        <v>Answer</v>
      </c>
      <c r="E67" s="385"/>
      <c r="F67" s="21"/>
      <c r="G67" s="55" t="str">
        <f ca="1">G25</f>
        <v>Comments</v>
      </c>
      <c r="H67" s="424" t="str">
        <f>IF(Q75="(*)","Click here to enter smelter names","")</f>
        <v/>
      </c>
      <c r="I67" s="424"/>
      <c r="J67" s="424"/>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ustomHeight="1">
      <c r="A68" s="52"/>
      <c r="B68" s="51" t="str">
        <f ca="1">B38</f>
        <v>Tantalum  (*)</v>
      </c>
      <c r="C68" s="46"/>
      <c r="D68" s="378" t="s">
        <v>498</v>
      </c>
      <c r="E68" s="379"/>
      <c r="F68" s="59"/>
      <c r="G68" s="380" t="s">
        <v>16343</v>
      </c>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ustomHeight="1">
      <c r="A69" s="52"/>
      <c r="B69" s="51" t="str">
        <f ca="1">B39</f>
        <v>Tin  (*)</v>
      </c>
      <c r="C69" s="46"/>
      <c r="D69" s="378" t="s">
        <v>498</v>
      </c>
      <c r="E69" s="379"/>
      <c r="F69" s="59"/>
      <c r="G69" s="380" t="s">
        <v>16343</v>
      </c>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ustomHeight="1">
      <c r="A70" s="52"/>
      <c r="B70" s="51" t="str">
        <f ca="1">B40</f>
        <v>Gold  (*)</v>
      </c>
      <c r="C70" s="46"/>
      <c r="D70" s="378" t="s">
        <v>498</v>
      </c>
      <c r="E70" s="379"/>
      <c r="F70" s="59"/>
      <c r="G70" s="380" t="s">
        <v>16343</v>
      </c>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ustomHeight="1">
      <c r="A71" s="49"/>
      <c r="B71" s="51" t="str">
        <f ca="1">B41</f>
        <v>Tungsten  (*)</v>
      </c>
      <c r="C71" s="60"/>
      <c r="D71" s="378" t="s">
        <v>498</v>
      </c>
      <c r="E71" s="379"/>
      <c r="F71" s="61"/>
      <c r="G71" s="380" t="s">
        <v>16343</v>
      </c>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6.2">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6.2">
      <c r="A73" s="52"/>
      <c r="B73" s="438" t="str">
        <f ca="1">OFFSET(L!$C$1,MATCH("Declaration"&amp;ADDRESS(ROW(),COLUMN(),4),L!$A:$A,0)-1,SL,,)</f>
        <v>Answer the Following Questions at a Company Level</v>
      </c>
      <c r="C73" s="438"/>
      <c r="D73" s="438"/>
      <c r="E73" s="438"/>
      <c r="F73" s="438"/>
      <c r="G73" s="438"/>
      <c r="H73" s="438"/>
      <c r="I73" s="438"/>
      <c r="J73" s="43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6.2">
      <c r="A74" s="62"/>
      <c r="B74" s="63" t="str">
        <f ca="1">OFFSET(L!$C$1,MATCH("Declaration"&amp;ADDRESS(ROW(),COLUMN(),4),L!$A:$A,0)-1,SL,,)</f>
        <v>Question</v>
      </c>
      <c r="C74" s="94"/>
      <c r="D74" s="427" t="str">
        <f ca="1">D25</f>
        <v>Answer</v>
      </c>
      <c r="E74" s="427"/>
      <c r="F74" s="64"/>
      <c r="G74" s="427" t="str">
        <f ca="1">G25</f>
        <v>Comments</v>
      </c>
      <c r="H74" s="427" t="e">
        <f>HLOOKUP(SL,LT,$O74,0)</f>
        <v>#NAME?</v>
      </c>
      <c r="I74" s="42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2.4">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6.2">
      <c r="A76" s="52"/>
      <c r="B76" s="69"/>
      <c r="C76" s="15"/>
      <c r="D76" s="1"/>
      <c r="E76" s="1"/>
      <c r="F76" s="15"/>
      <c r="G76" s="428"/>
      <c r="H76" s="428"/>
      <c r="I76" s="428"/>
      <c r="J76" s="428"/>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397" t="s">
        <v>16354</v>
      </c>
      <c r="H77" s="398"/>
      <c r="I77" s="398"/>
      <c r="J77" s="39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6.2">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499</v>
      </c>
      <c r="E79" s="379"/>
      <c r="F79" s="68"/>
      <c r="G79" s="380" t="s">
        <v>16353</v>
      </c>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6.2">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6.2">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6.2">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35" t="s">
        <v>498</v>
      </c>
      <c r="E85" s="436"/>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6.2">
      <c r="A86" s="52"/>
      <c r="B86" s="72"/>
      <c r="C86" s="15"/>
      <c r="D86" s="1"/>
      <c r="E86" s="1"/>
      <c r="F86" s="16"/>
      <c r="G86" s="428"/>
      <c r="H86" s="428"/>
      <c r="I86" s="428"/>
      <c r="J86" s="428"/>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6.2">
      <c r="A88" s="52"/>
      <c r="B88" s="69"/>
      <c r="C88" s="15"/>
      <c r="D88" s="1"/>
      <c r="E88" s="1"/>
      <c r="F88" s="16"/>
      <c r="G88" s="437"/>
      <c r="H88" s="437"/>
      <c r="I88" s="437"/>
      <c r="J88" s="437"/>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2.4">
      <c r="A89" s="52"/>
      <c r="B89" s="67" t="str">
        <f ca="1">OFFSET(L!$C$1,MATCH("Declaration"&amp;ADDRESS(ROW(),COLUMN(),4),L!$A:$A,0)-1,SL,,)&amp;$Q$37</f>
        <v>H. Is your company required to file an annual conflict minerals disclosure? (*)</v>
      </c>
      <c r="C89" s="68"/>
      <c r="D89" s="378" t="s">
        <v>499</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6.2">
      <c r="A90" s="52"/>
      <c r="B90" s="434" t="str">
        <f>IF(OR($D$8="",$I$3=""),"","Click here to check required fields completion")</f>
        <v/>
      </c>
      <c r="C90" s="434"/>
      <c r="D90" s="434"/>
      <c r="E90" s="434"/>
      <c r="F90" s="434"/>
      <c r="G90" s="434"/>
      <c r="H90" s="434"/>
      <c r="I90" s="434"/>
      <c r="J90" s="434"/>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6.8" thickBot="1">
      <c r="A91" s="432" t="str">
        <f ca="1">OFFSET(L!$C$1,MATCH("General"&amp;"Cpy",L!$A:$A,0)-1,SL,,)</f>
        <v>© 2020 Responsible Minerals Initiative. All rights reserved.</v>
      </c>
      <c r="B91" s="433"/>
      <c r="C91" s="433"/>
      <c r="D91" s="433"/>
      <c r="E91" s="433"/>
      <c r="F91" s="433"/>
      <c r="G91" s="433"/>
      <c r="H91" s="433"/>
      <c r="I91" s="433"/>
      <c r="J91" s="433"/>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6.8"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 hidden="1">
      <c r="B98" s="67" t="s">
        <v>500</v>
      </c>
    </row>
    <row r="99" spans="2:2" ht="15" hidden="1">
      <c r="B99" s="223">
        <v>1</v>
      </c>
    </row>
    <row r="100" spans="2:2" ht="15" hidden="1">
      <c r="B100" s="292" t="s">
        <v>2626</v>
      </c>
    </row>
    <row r="101" spans="2:2" ht="15" hidden="1">
      <c r="B101" s="292" t="s">
        <v>2627</v>
      </c>
    </row>
    <row r="102" spans="2:2" ht="15" hidden="1">
      <c r="B102" s="292" t="s">
        <v>2628</v>
      </c>
    </row>
    <row r="103" spans="2:2" ht="15" hidden="1">
      <c r="B103" s="292" t="s">
        <v>2629</v>
      </c>
    </row>
    <row r="104" spans="2:2" ht="15" hidden="1">
      <c r="B104" s="292" t="s">
        <v>501</v>
      </c>
    </row>
    <row r="105" spans="2:2" ht="15" hidden="1">
      <c r="B105" s="292" t="s">
        <v>15442</v>
      </c>
    </row>
    <row r="106" spans="2:2" ht="15" hidden="1">
      <c r="B106" s="292" t="s">
        <v>12721</v>
      </c>
    </row>
    <row r="107" spans="2:2" ht="15" hidden="1">
      <c r="B107" s="292" t="s">
        <v>499</v>
      </c>
    </row>
    <row r="108" spans="2:2" ht="15" hidden="1">
      <c r="B108" s="292" t="s">
        <v>14352</v>
      </c>
    </row>
    <row r="109" spans="2:2" ht="15" hidden="1">
      <c r="B109" s="292" t="s">
        <v>14354</v>
      </c>
    </row>
    <row r="110" spans="2:2" ht="15" hidden="1">
      <c r="B110" s="292" t="s">
        <v>14355</v>
      </c>
    </row>
    <row r="111" spans="2:2" ht="1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phoneticPr fontId="97" type="noConversion"/>
  <conditionalFormatting sqref="D75:E75 D77:E77 D79:E79 D81:E81 D85:E85 D87:E87 D89:E89 D83">
    <cfRule type="expression" dxfId="101" priority="63" stopIfTrue="1">
      <formula>AND(OR($D$26="No",AND($D$26="Yes",$D$32="No")),OR($D$27="No",AND($D$27="Yes",$D$33="No")),OR($D$28="No",AND($D$28="Yes",$D$34="No")),OR($D$29="No",AND($D$29="Yes",$D$35="No")))</formula>
    </cfRule>
    <cfRule type="expression" dxfId="100" priority="64" stopIfTrue="1">
      <formula>IF(D75="",TRUE)</formula>
    </cfRule>
  </conditionalFormatting>
  <conditionalFormatting sqref="G77:J77">
    <cfRule type="expression" dxfId="99" priority="35" stopIfTrue="1">
      <formula>IF(AND($D$77="Yes",$G$77=""),TRUE)</formula>
    </cfRule>
  </conditionalFormatting>
  <conditionalFormatting sqref="D26:E26">
    <cfRule type="expression" dxfId="98" priority="115" stopIfTrue="1">
      <formula>IF($D$26="",TRUE)</formula>
    </cfRule>
  </conditionalFormatting>
  <conditionalFormatting sqref="D27:E27">
    <cfRule type="expression" dxfId="97" priority="122" stopIfTrue="1">
      <formula>IF($D$27="",TRUE)</formula>
    </cfRule>
  </conditionalFormatting>
  <conditionalFormatting sqref="D28:E28">
    <cfRule type="expression" dxfId="96" priority="123" stopIfTrue="1">
      <formula>IF($D$28="",TRUE)</formula>
    </cfRule>
  </conditionalFormatting>
  <conditionalFormatting sqref="D29:E29">
    <cfRule type="expression" dxfId="95" priority="124" stopIfTrue="1">
      <formula>IF($D$29="",TRUE)</formula>
    </cfRule>
  </conditionalFormatting>
  <conditionalFormatting sqref="D8:J8">
    <cfRule type="expression" dxfId="94" priority="129" stopIfTrue="1">
      <formula>IF($D$8="",TRUE)</formula>
    </cfRule>
  </conditionalFormatting>
  <conditionalFormatting sqref="D9:G9">
    <cfRule type="expression" dxfId="93" priority="130" stopIfTrue="1">
      <formula>IF($D$9="",TRUE)</formula>
    </cfRule>
  </conditionalFormatting>
  <conditionalFormatting sqref="D15:J15">
    <cfRule type="expression" dxfId="92" priority="131" stopIfTrue="1">
      <formula>IF($D$15="",TRUE)</formula>
    </cfRule>
  </conditionalFormatting>
  <conditionalFormatting sqref="D16:J16">
    <cfRule type="expression" dxfId="91" priority="132" stopIfTrue="1">
      <formula>IF($D$16="",TRUE)</formula>
    </cfRule>
  </conditionalFormatting>
  <conditionalFormatting sqref="D17:J17">
    <cfRule type="expression" dxfId="90" priority="133" stopIfTrue="1">
      <formula>IF($D$17="",TRUE)</formula>
    </cfRule>
  </conditionalFormatting>
  <conditionalFormatting sqref="D18:J18">
    <cfRule type="expression" dxfId="89" priority="134" stopIfTrue="1">
      <formula>IF($D$18="",TRUE)</formula>
    </cfRule>
  </conditionalFormatting>
  <conditionalFormatting sqref="D22:E22">
    <cfRule type="expression" dxfId="88" priority="137" stopIfTrue="1">
      <formula>IF($D$22="",TRUE)</formula>
    </cfRule>
  </conditionalFormatting>
  <conditionalFormatting sqref="D10:J10">
    <cfRule type="expression" dxfId="87" priority="34" stopIfTrue="1">
      <formula>IF($D$9=$Q$9,TRUE)</formula>
    </cfRule>
    <cfRule type="expression" dxfId="86" priority="144" stopIfTrue="1">
      <formula>IF(AND($D$10="",$D$9=$R$9),TRUE)</formula>
    </cfRule>
  </conditionalFormatting>
  <conditionalFormatting sqref="D34:E34 D40:E40 D52:E52 D58:E58 D64:E64 D70:E70">
    <cfRule type="expression" dxfId="85" priority="27" stopIfTrue="1">
      <formula>$P$28=""</formula>
    </cfRule>
  </conditionalFormatting>
  <conditionalFormatting sqref="D35:E35 D41:E41 D53:E53 D59:E59 D65:E65 D71:E71">
    <cfRule type="expression" dxfId="84" priority="142" stopIfTrue="1">
      <formula>$P$29=""</formula>
    </cfRule>
  </conditionalFormatting>
  <conditionalFormatting sqref="D32:E32">
    <cfRule type="expression" dxfId="83" priority="120" stopIfTrue="1">
      <formula>$P$26=""</formula>
    </cfRule>
  </conditionalFormatting>
  <conditionalFormatting sqref="D32:E32">
    <cfRule type="expression" dxfId="82" priority="33" stopIfTrue="1">
      <formula>IF(AND(OR($D$26="Yes",$D$26=""),$D$32=""),1,0)</formula>
    </cfRule>
  </conditionalFormatting>
  <conditionalFormatting sqref="D38 D50 D56 D62 D68">
    <cfRule type="expression" dxfId="81" priority="29" stopIfTrue="1">
      <formula>$P$32=""</formula>
    </cfRule>
  </conditionalFormatting>
  <conditionalFormatting sqref="D39:E39 D51 D57 D63 D69">
    <cfRule type="expression" dxfId="80" priority="28" stopIfTrue="1">
      <formula>$P$33=""</formula>
    </cfRule>
  </conditionalFormatting>
  <conditionalFormatting sqref="D40 D52 D58 D64 D70">
    <cfRule type="expression" dxfId="79" priority="18" stopIfTrue="1">
      <formula>$P$34=""</formula>
    </cfRule>
    <cfRule type="expression" dxfId="78" priority="140" stopIfTrue="1">
      <formula>IF(AND(OR($D$28="Yes",$D$28=""),D40=""),1,0)</formula>
    </cfRule>
  </conditionalFormatting>
  <conditionalFormatting sqref="D41 D53 D59 D65 D71">
    <cfRule type="expression" dxfId="77" priority="26" stopIfTrue="1">
      <formula>$P$35=""</formula>
    </cfRule>
  </conditionalFormatting>
  <conditionalFormatting sqref="D38:E38 D50:E50 D56:E56 D62:E62 D68:E68">
    <cfRule type="expression" dxfId="76" priority="31" stopIfTrue="1">
      <formula>$P$26=""</formula>
    </cfRule>
    <cfRule type="expression" dxfId="75" priority="32" stopIfTrue="1">
      <formula>IF(AND(OR($D$26="Yes",$D$26=""),D38=""),1,0)</formula>
    </cfRule>
  </conditionalFormatting>
  <conditionalFormatting sqref="G85:J85">
    <cfRule type="expression" dxfId="74" priority="25" stopIfTrue="1">
      <formula>IF(AND($D$85="Yes, using other format (describe)",$G$85=""),TRUE)</formula>
    </cfRule>
  </conditionalFormatting>
  <conditionalFormatting sqref="D39:E39 D51:E51 D57:E57 D63:E63 D69:E69">
    <cfRule type="expression" dxfId="73" priority="138" stopIfTrue="1">
      <formula>$P$39=""</formula>
    </cfRule>
    <cfRule type="expression" dxfId="72" priority="139" stopIfTrue="1">
      <formula>IF(AND(OR($D$27="Yes",$D$27=""),D39=""),1,0)</formula>
    </cfRule>
  </conditionalFormatting>
  <conditionalFormatting sqref="D33:E33">
    <cfRule type="expression" dxfId="71" priority="20" stopIfTrue="1">
      <formula>IF(AND(OR($D$27="Yes",$D$27=""),$D$33=""),1,0)</formula>
    </cfRule>
    <cfRule type="expression" dxfId="70" priority="21" stopIfTrue="1">
      <formula>$P$27=""</formula>
    </cfRule>
  </conditionalFormatting>
  <conditionalFormatting sqref="D34:E34">
    <cfRule type="expression" dxfId="69" priority="141" stopIfTrue="1">
      <formula>IF(AND(OR($D$28="Yes",$D$28=""),$D$34=""),1,0)</formula>
    </cfRule>
  </conditionalFormatting>
  <conditionalFormatting sqref="D41:E41 D53:E53 D59:E59 D65:E65 D71:E71">
    <cfRule type="expression" dxfId="68" priority="143" stopIfTrue="1">
      <formula>IF(AND(OR($D$29="Yes",$D$29=""),D41=""),1,0)</formula>
    </cfRule>
  </conditionalFormatting>
  <conditionalFormatting sqref="D35:E35">
    <cfRule type="expression" dxfId="67" priority="17" stopIfTrue="1">
      <formula>IF(AND(OR($D$29="Yes",$D$29=""),$D$35=""),1,0)</formula>
    </cfRule>
  </conditionalFormatting>
  <conditionalFormatting sqref="D20:J20">
    <cfRule type="expression" dxfId="66" priority="13" stopIfTrue="1">
      <formula>IF($D$20="",TRUE)</formula>
    </cfRule>
  </conditionalFormatting>
  <conditionalFormatting sqref="D46:E46">
    <cfRule type="expression" dxfId="65" priority="3" stopIfTrue="1">
      <formula>$P$28=""</formula>
    </cfRule>
  </conditionalFormatting>
  <conditionalFormatting sqref="D47:E47">
    <cfRule type="expression" dxfId="64" priority="11" stopIfTrue="1">
      <formula>$P$29=""</formula>
    </cfRule>
  </conditionalFormatting>
  <conditionalFormatting sqref="D44">
    <cfRule type="expression" dxfId="63" priority="5" stopIfTrue="1">
      <formula>$P$32=""</formula>
    </cfRule>
  </conditionalFormatting>
  <conditionalFormatting sqref="D45">
    <cfRule type="expression" dxfId="62" priority="4" stopIfTrue="1">
      <formula>$P$33=""</formula>
    </cfRule>
  </conditionalFormatting>
  <conditionalFormatting sqref="D46">
    <cfRule type="expression" dxfId="61" priority="1" stopIfTrue="1">
      <formula>$P$34=""</formula>
    </cfRule>
    <cfRule type="expression" dxfId="60" priority="10" stopIfTrue="1">
      <formula>IF(AND(OR($D$28="Yes",$D$28=""),D46=""),1,0)</formula>
    </cfRule>
  </conditionalFormatting>
  <conditionalFormatting sqref="D47">
    <cfRule type="expression" dxfId="59" priority="2" stopIfTrue="1">
      <formula>$P$35=""</formula>
    </cfRule>
  </conditionalFormatting>
  <conditionalFormatting sqref="D44:E44">
    <cfRule type="expression" dxfId="58" priority="6" stopIfTrue="1">
      <formula>$P$26=""</formula>
    </cfRule>
    <cfRule type="expression" dxfId="57" priority="7" stopIfTrue="1">
      <formula>IF(AND(OR($D$26="Yes",$D$26=""),D44=""),1,0)</formula>
    </cfRule>
  </conditionalFormatting>
  <conditionalFormatting sqref="D45:E45">
    <cfRule type="expression" dxfId="56" priority="8" stopIfTrue="1">
      <formula>$P$39=""</formula>
    </cfRule>
    <cfRule type="expression" dxfId="55" priority="9" stopIfTrue="1">
      <formula>IF(AND(OR($D$27="Yes",$D$27=""),D45=""),1,0)</formula>
    </cfRule>
  </conditionalFormatting>
  <conditionalFormatting sqref="D47:E47">
    <cfRule type="expression" dxfId="54"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I4:J4" location="Instructions!B71" display="Link to Terms &amp; Conditions"/>
    <hyperlink ref="B90:J90" location="Checker!A1" display="Checker!A1"/>
    <hyperlink ref="H67:J67" location="'Smelter List'!A1" display="'Smelter List'!A1"/>
    <hyperlink ref="D11:J11" location="'Product List'!B6" display="'Product List'!B6"/>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85" zoomScaleNormal="85" zoomScalePageLayoutView="55" workbookViewId="0">
      <selection activeCell="A4" sqref="A4"/>
    </sheetView>
  </sheetViews>
  <sheetFormatPr defaultColWidth="8.90625" defaultRowHeight="12.6"/>
  <cols>
    <col min="1" max="1" width="13.6328125" style="277" customWidth="1"/>
    <col min="2" max="2" width="13.36328125" style="282" customWidth="1"/>
    <col min="3" max="3" width="40.6328125" style="282" customWidth="1"/>
    <col min="4" max="4" width="30.6328125" style="282" customWidth="1"/>
    <col min="5" max="5" width="20.90625" style="282" customWidth="1"/>
    <col min="6" max="7" width="13.90625" style="282" customWidth="1"/>
    <col min="8" max="8" width="25.08984375" style="282" customWidth="1"/>
    <col min="9" max="9" width="24.08984375" style="282" customWidth="1"/>
    <col min="10" max="10" width="18.36328125" style="282" customWidth="1"/>
    <col min="11" max="11" width="27.36328125" style="282" customWidth="1"/>
    <col min="12" max="12" width="20.6328125" style="282" customWidth="1"/>
    <col min="13" max="13" width="35.08984375" style="282" customWidth="1"/>
    <col min="14" max="14" width="42.08984375" style="282" customWidth="1"/>
    <col min="15" max="15" width="32.08984375" style="282" customWidth="1"/>
    <col min="16" max="16" width="22.90625" style="282" customWidth="1"/>
    <col min="17" max="17" width="43.6328125" style="282" customWidth="1"/>
    <col min="18" max="18" width="35.90625" style="282" hidden="1" customWidth="1"/>
    <col min="19" max="20" width="17.90625" style="282" hidden="1" customWidth="1"/>
    <col min="21" max="21" width="8.90625" style="281" hidden="1" customWidth="1"/>
    <col min="22" max="22" width="6.08984375" style="281" hidden="1" customWidth="1"/>
    <col min="23" max="23" width="8.6328125" style="281" hidden="1" customWidth="1"/>
    <col min="24" max="24" width="8.90625" style="281" hidden="1" customWidth="1"/>
    <col min="25" max="26" width="4.36328125" style="281" hidden="1" customWidth="1"/>
    <col min="27" max="27" width="4.36328125" style="282" hidden="1" customWidth="1"/>
    <col min="28" max="28" width="7.90625" style="282" hidden="1" customWidth="1"/>
    <col min="29" max="33" width="4.36328125" style="282" hidden="1" customWidth="1"/>
    <col min="34" max="34" width="14.6328125" style="282" hidden="1" customWidth="1"/>
    <col min="35" max="39" width="8.90625" style="282" customWidth="1"/>
    <col min="40" max="16384" width="8.90625" style="282"/>
  </cols>
  <sheetData>
    <row r="1" spans="1:34" s="269" customFormat="1" ht="16.2"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8.2">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4.2"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60">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19.95" customHeight="1">
      <c r="A5" s="332" t="s">
        <v>14237</v>
      </c>
      <c r="B5" s="217" t="s">
        <v>1153</v>
      </c>
      <c r="C5" s="221" t="s">
        <v>14218</v>
      </c>
      <c r="D5" s="283" t="s">
        <v>14218</v>
      </c>
      <c r="E5" s="217" t="s">
        <v>1129</v>
      </c>
      <c r="F5" s="217" t="str">
        <f ca="1">IF(ISERROR($V5),"",OFFSET('Smelter Look-up'!$E$4,$V5-4,0))</f>
        <v>CID003463</v>
      </c>
      <c r="G5" s="217" t="str">
        <f ca="1">IF(C5=$X$4,"Enter smelter details",IF(ISERROR($V5),"",OFFSET('Smelter Look-up'!$F$4,$V5-4,0)))</f>
        <v>RMI</v>
      </c>
      <c r="H5" s="218" t="s">
        <v>15506</v>
      </c>
      <c r="I5" s="219" t="s">
        <v>14252</v>
      </c>
      <c r="J5" s="219" t="s">
        <v>6419</v>
      </c>
      <c r="K5" s="273"/>
      <c r="L5" s="273"/>
      <c r="M5" s="273"/>
      <c r="N5" s="273"/>
      <c r="O5" s="273" t="s">
        <v>15507</v>
      </c>
      <c r="P5" s="220"/>
      <c r="Q5" s="274"/>
      <c r="R5" s="217" t="str">
        <f ca="1">IF(ISERROR($V5),"",OFFSET('Smelter Look-up'!$C$4,$V5-4,0)&amp;"")</f>
        <v>Kundan Care Products Ltd.</v>
      </c>
      <c r="S5" s="225" t="str">
        <f t="shared" ref="S5" ca="1" si="0">IF(B5="","",IF(ISERROR(MATCH($E5,CL,0)),"Unknown",INDIRECT("'C'!$A$"&amp;MATCH($E5,CL,0)+1)))</f>
        <v>IN</v>
      </c>
      <c r="T5" s="225" t="str">
        <f ca="1">IF(B5="","",IF(ISERROR(MATCH($J5,SorP!$B$1:$B$6230,0)),"",INDIRECT("'SorP'!$A$"&amp;MATCH($J5,SorP!$B$1:$B$6230,0))))</f>
        <v>IN-UT</v>
      </c>
      <c r="U5" s="241"/>
      <c r="V5" s="275">
        <f>IF(C5="",NA(),MATCH($B5&amp;$C5,'Smelter Look-up'!$J:$J,0))</f>
        <v>133</v>
      </c>
      <c r="W5" s="276"/>
      <c r="X5" s="276">
        <f t="shared" ref="X5" si="1">IF(AND(C5="Smelter not listed",OR(LEN(D5)=0,LEN(E5)=0)),1,0)</f>
        <v>0</v>
      </c>
      <c r="Y5" s="276"/>
      <c r="Z5" s="276"/>
      <c r="AB5" s="278" t="str">
        <f t="shared" ref="AB5" si="2">B5&amp;C5</f>
        <v>GoldKundan Care Products Ltd.</v>
      </c>
    </row>
    <row r="6" spans="1:34" s="277" customFormat="1" ht="19.95" customHeight="1">
      <c r="A6" s="332" t="s">
        <v>14231</v>
      </c>
      <c r="B6" s="217" t="s">
        <v>1153</v>
      </c>
      <c r="C6" s="221" t="s">
        <v>14205</v>
      </c>
      <c r="D6" s="283" t="s">
        <v>14205</v>
      </c>
      <c r="E6" s="217" t="s">
        <v>1129</v>
      </c>
      <c r="F6" s="217" t="str">
        <f ca="1">IF(ISERROR($V6),"",OFFSET('Smelter Look-up'!$E$4,$V6-4,0))</f>
        <v>CID003461</v>
      </c>
      <c r="G6" s="217" t="str">
        <f ca="1">IF(C6=$X$4,"Enter smelter details",IF(ISERROR($V6),"",OFFSET('Smelter Look-up'!$F$4,$V6-4,0)))</f>
        <v>RMI</v>
      </c>
      <c r="H6" s="218" t="s">
        <v>15508</v>
      </c>
      <c r="I6" s="219" t="s">
        <v>14247</v>
      </c>
      <c r="J6" s="219" t="s">
        <v>1759</v>
      </c>
      <c r="K6" s="273"/>
      <c r="L6" s="273"/>
      <c r="M6" s="273"/>
      <c r="N6" s="273"/>
      <c r="O6" s="273" t="s">
        <v>15509</v>
      </c>
      <c r="P6" s="220"/>
      <c r="Q6" s="274"/>
      <c r="R6" s="217" t="str">
        <f ca="1">IF(ISERROR($V6),"",OFFSET('Smelter Look-up'!$C$4,$V6-4,0)&amp;"")</f>
        <v>Augmont Enterprises Private Limited</v>
      </c>
      <c r="S6" s="225" t="str">
        <f t="shared" ref="S6:S37" ca="1" si="3">IF(B6="","",IF(ISERROR(MATCH($E6,CL,0)),"Unknown",INDIRECT("'C'!$A$"&amp;MATCH($E6,CL,0)+1)))</f>
        <v>IN</v>
      </c>
      <c r="T6" s="225" t="str">
        <f ca="1">IF(B6="","",IF(ISERROR(MATCH($J6,SorP!$B$1:$B$6230,0)),"",INDIRECT("'SorP'!$A$"&amp;MATCH($J6,SorP!$B$1:$B$6230,0))))</f>
        <v>IN-MH</v>
      </c>
      <c r="U6" s="241"/>
      <c r="V6" s="275">
        <f>IF(C6="",NA(),MATCH($B6&amp;$C6,'Smelter Look-up'!$J:$J,0))</f>
        <v>31</v>
      </c>
      <c r="W6" s="276"/>
      <c r="X6" s="276">
        <f t="shared" ref="X6:X37" si="4">IF(AND(C6="Smelter not listed",OR(LEN(D6)=0,LEN(E6)=0)),1,0)</f>
        <v>0</v>
      </c>
      <c r="Y6" s="276"/>
      <c r="Z6" s="276"/>
      <c r="AB6" s="278" t="str">
        <f t="shared" ref="AB6:AB37" si="5">B6&amp;C6</f>
        <v>GoldAugmont Enterprises Private Limited</v>
      </c>
    </row>
    <row r="7" spans="1:34" s="277" customFormat="1" ht="19.95" customHeight="1">
      <c r="A7" s="332" t="s">
        <v>14234</v>
      </c>
      <c r="B7" s="217" t="s">
        <v>1153</v>
      </c>
      <c r="C7" s="221" t="s">
        <v>14210</v>
      </c>
      <c r="D7" s="283" t="s">
        <v>14210</v>
      </c>
      <c r="E7" s="217" t="s">
        <v>1131</v>
      </c>
      <c r="F7" s="217" t="str">
        <f ca="1">IF(ISERROR($V7),"",OFFSET('Smelter Look-up'!$E$4,$V7-4,0))</f>
        <v>CID003425</v>
      </c>
      <c r="G7" s="217" t="str">
        <f ca="1">IF(C7=$X$4,"Enter smelter details",IF(ISERROR($V7),"",OFFSET('Smelter Look-up'!$F$4,$V7-4,0)))</f>
        <v>RMI</v>
      </c>
      <c r="H7" s="218" t="s">
        <v>15510</v>
      </c>
      <c r="I7" s="219" t="s">
        <v>6908</v>
      </c>
      <c r="J7" s="219" t="s">
        <v>6908</v>
      </c>
      <c r="K7" s="273"/>
      <c r="L7" s="273"/>
      <c r="M7" s="273"/>
      <c r="N7" s="273" t="s">
        <v>15511</v>
      </c>
      <c r="O7" s="273" t="s">
        <v>15512</v>
      </c>
      <c r="P7" s="220"/>
      <c r="Q7" s="274" t="s">
        <v>15513</v>
      </c>
      <c r="R7" s="217" t="str">
        <f ca="1">IF(ISERROR($V7),"",OFFSET('Smelter Look-up'!$C$4,$V7-4,0)&amp;"")</f>
        <v>Eco-System Recycling Co., Ltd. West Plant</v>
      </c>
      <c r="S7" s="225" t="str">
        <f t="shared" ca="1" si="3"/>
        <v>JP</v>
      </c>
      <c r="T7" s="225" t="str">
        <f ca="1">IF(B7="","",IF(ISERROR(MATCH($J7,SorP!$B$1:$B$6230,0)),"",INDIRECT("'SorP'!$A$"&amp;MATCH($J7,SorP!$B$1:$B$6230,0))))</f>
        <v>JP-33</v>
      </c>
      <c r="U7" s="241"/>
      <c r="V7" s="275">
        <f>IF(C7="",NA(),MATCH($B7&amp;$C7,'Smelter Look-up'!$J:$J,0))</f>
        <v>71</v>
      </c>
      <c r="W7" s="276"/>
      <c r="X7" s="276">
        <f t="shared" si="4"/>
        <v>0</v>
      </c>
      <c r="Y7" s="276"/>
      <c r="Z7" s="276"/>
      <c r="AB7" s="278" t="str">
        <f t="shared" si="5"/>
        <v>GoldEco-System Recycling Co., Ltd. West Plant</v>
      </c>
    </row>
    <row r="8" spans="1:34" s="277" customFormat="1" ht="19.95" customHeight="1">
      <c r="A8" s="332" t="s">
        <v>14233</v>
      </c>
      <c r="B8" s="217" t="s">
        <v>1153</v>
      </c>
      <c r="C8" s="221" t="s">
        <v>14209</v>
      </c>
      <c r="D8" s="283" t="s">
        <v>14209</v>
      </c>
      <c r="E8" s="217" t="s">
        <v>1131</v>
      </c>
      <c r="F8" s="217" t="str">
        <f ca="1">IF(ISERROR($V8),"",OFFSET('Smelter Look-up'!$E$4,$V8-4,0))</f>
        <v>CID003424</v>
      </c>
      <c r="G8" s="217" t="str">
        <f ca="1">IF(C8=$X$4,"Enter smelter details",IF(ISERROR($V8),"",OFFSET('Smelter Look-up'!$F$4,$V8-4,0)))</f>
        <v>RMI</v>
      </c>
      <c r="H8" s="218" t="s">
        <v>15514</v>
      </c>
      <c r="I8" s="219" t="s">
        <v>14250</v>
      </c>
      <c r="J8" s="219" t="s">
        <v>1605</v>
      </c>
      <c r="K8" s="273"/>
      <c r="L8" s="273"/>
      <c r="M8" s="273"/>
      <c r="N8" s="273" t="s">
        <v>15511</v>
      </c>
      <c r="O8" s="273" t="s">
        <v>15512</v>
      </c>
      <c r="P8" s="220"/>
      <c r="Q8" s="274" t="s">
        <v>15513</v>
      </c>
      <c r="R8" s="217" t="str">
        <f ca="1">IF(ISERROR($V8),"",OFFSET('Smelter Look-up'!$C$4,$V8-4,0)&amp;"")</f>
        <v>Eco-System Recycling Co., Ltd. North Plant</v>
      </c>
      <c r="S8" s="225" t="str">
        <f t="shared" ca="1" si="3"/>
        <v>JP</v>
      </c>
      <c r="T8" s="225" t="str">
        <f ca="1">IF(B8="","",IF(ISERROR(MATCH($J8,SorP!$B$1:$B$6230,0)),"",INDIRECT("'SorP'!$A$"&amp;MATCH($J8,SorP!$B$1:$B$6230,0))))</f>
        <v>JP-05</v>
      </c>
      <c r="U8" s="241"/>
      <c r="V8" s="275">
        <f>IF(C8="",NA(),MATCH($B8&amp;$C8,'Smelter Look-up'!$J:$J,0))</f>
        <v>70</v>
      </c>
      <c r="W8" s="276"/>
      <c r="X8" s="276">
        <f t="shared" si="4"/>
        <v>0</v>
      </c>
      <c r="Y8" s="276"/>
      <c r="Z8" s="276"/>
      <c r="AB8" s="278" t="str">
        <f t="shared" si="5"/>
        <v>GoldEco-System Recycling Co., Ltd. North Plant</v>
      </c>
    </row>
    <row r="9" spans="1:34" s="277" customFormat="1" ht="19.95" customHeight="1">
      <c r="A9" s="332" t="s">
        <v>14232</v>
      </c>
      <c r="B9" s="217" t="s">
        <v>1153</v>
      </c>
      <c r="C9" s="221" t="s">
        <v>14206</v>
      </c>
      <c r="D9" s="283" t="s">
        <v>14206</v>
      </c>
      <c r="E9" s="217" t="s">
        <v>13323</v>
      </c>
      <c r="F9" s="217" t="str">
        <f ca="1">IF(ISERROR($V9),"",OFFSET('Smelter Look-up'!$E$4,$V9-4,0))</f>
        <v>CID003421</v>
      </c>
      <c r="G9" s="217" t="str">
        <f ca="1">IF(C9=$X$4,"Enter smelter details",IF(ISERROR($V9),"",OFFSET('Smelter Look-up'!$F$4,$V9-4,0)))</f>
        <v>RMI</v>
      </c>
      <c r="H9" s="218" t="s">
        <v>15515</v>
      </c>
      <c r="I9" s="219" t="s">
        <v>14248</v>
      </c>
      <c r="J9" s="219" t="s">
        <v>4081</v>
      </c>
      <c r="K9" s="273"/>
      <c r="L9" s="273"/>
      <c r="M9" s="273"/>
      <c r="N9" s="273"/>
      <c r="O9" s="273" t="s">
        <v>15507</v>
      </c>
      <c r="P9" s="220"/>
      <c r="Q9" s="274"/>
      <c r="R9" s="217" t="str">
        <f ca="1">IF(ISERROR($V9),"",OFFSET('Smelter Look-up'!$C$4,$V9-4,0)&amp;"")</f>
        <v>C.I Metales Procesados Industriales SAS</v>
      </c>
      <c r="S9" s="225" t="str">
        <f t="shared" ca="1" si="3"/>
        <v>CO</v>
      </c>
      <c r="T9" s="225" t="str">
        <f ca="1">IF(B9="","",IF(ISERROR(MATCH($J9,SorP!$B$1:$B$6230,0)),"",INDIRECT("'SorP'!$A$"&amp;MATCH($J9,SorP!$B$1:$B$6230,0))))</f>
        <v>CO-CUN</v>
      </c>
      <c r="U9" s="241"/>
      <c r="V9" s="275">
        <f>IF(C9="",NA(),MATCH($B9&amp;$C9,'Smelter Look-up'!$J:$J,0))</f>
        <v>39</v>
      </c>
      <c r="W9" s="276"/>
      <c r="X9" s="276">
        <f t="shared" si="4"/>
        <v>0</v>
      </c>
      <c r="Y9" s="276"/>
      <c r="Z9" s="276"/>
      <c r="AB9" s="278" t="str">
        <f t="shared" si="5"/>
        <v>GoldC.I Metales Procesados Industriales SAS</v>
      </c>
    </row>
    <row r="10" spans="1:34" s="277" customFormat="1" ht="19.95" customHeight="1">
      <c r="A10" s="332" t="s">
        <v>14144</v>
      </c>
      <c r="B10" s="217" t="s">
        <v>1153</v>
      </c>
      <c r="C10" s="221" t="s">
        <v>14143</v>
      </c>
      <c r="D10" s="283" t="s">
        <v>14143</v>
      </c>
      <c r="E10" s="217" t="s">
        <v>1129</v>
      </c>
      <c r="F10" s="217" t="str">
        <f ca="1">IF(ISERROR($V10),"",OFFSET('Smelter Look-up'!$E$4,$V10-4,0))</f>
        <v>CID003383</v>
      </c>
      <c r="G10" s="217" t="str">
        <f ca="1">IF(C10=$X$4,"Enter smelter details",IF(ISERROR($V10),"",OFFSET('Smelter Look-up'!$F$4,$V10-4,0)))</f>
        <v>RMI</v>
      </c>
      <c r="H10" s="218" t="s">
        <v>15516</v>
      </c>
      <c r="I10" s="219" t="s">
        <v>15517</v>
      </c>
      <c r="J10" s="219" t="s">
        <v>2423</v>
      </c>
      <c r="K10" s="273"/>
      <c r="L10" s="273"/>
      <c r="M10" s="273"/>
      <c r="N10" s="273"/>
      <c r="O10" s="273" t="s">
        <v>15518</v>
      </c>
      <c r="P10" s="220"/>
      <c r="Q10" s="274"/>
      <c r="R10" s="217" t="str">
        <f ca="1">IF(ISERROR($V10),"",OFFSET('Smelter Look-up'!$C$4,$V10-4,0)&amp;"")</f>
        <v>Sovereign Metals</v>
      </c>
      <c r="S10" s="225" t="str">
        <f t="shared" ca="1" si="3"/>
        <v>IN</v>
      </c>
      <c r="T10" s="225" t="str">
        <f ca="1">IF(B10="","",IF(ISERROR(MATCH($J10,SorP!$B$1:$B$6230,0)),"",INDIRECT("'SorP'!$A$"&amp;MATCH($J10,SorP!$B$1:$B$6230,0))))</f>
        <v>IN-GJ</v>
      </c>
      <c r="U10" s="241"/>
      <c r="V10" s="275">
        <f>IF(C10="",NA(),MATCH($B10&amp;$C10,'Smelter Look-up'!$J:$J,0))</f>
        <v>236</v>
      </c>
      <c r="W10" s="276"/>
      <c r="X10" s="276">
        <f t="shared" si="4"/>
        <v>0</v>
      </c>
      <c r="Y10" s="276"/>
      <c r="Z10" s="276"/>
      <c r="AB10" s="278" t="str">
        <f t="shared" si="5"/>
        <v>GoldSovereign Metals</v>
      </c>
    </row>
    <row r="11" spans="1:34" s="277" customFormat="1" ht="19.95" customHeight="1">
      <c r="A11" s="332" t="s">
        <v>14133</v>
      </c>
      <c r="B11" s="217" t="s">
        <v>1153</v>
      </c>
      <c r="C11" s="221" t="s">
        <v>14132</v>
      </c>
      <c r="D11" s="283" t="s">
        <v>14132</v>
      </c>
      <c r="E11" s="217" t="s">
        <v>1129</v>
      </c>
      <c r="F11" s="217" t="str">
        <f ca="1">IF(ISERROR($V11),"",OFFSET('Smelter Look-up'!$E$4,$V11-4,0))</f>
        <v>CID003382</v>
      </c>
      <c r="G11" s="217" t="str">
        <f ca="1">IF(C11=$X$4,"Enter smelter details",IF(ISERROR($V11),"",OFFSET('Smelter Look-up'!$F$4,$V11-4,0)))</f>
        <v>RMI</v>
      </c>
      <c r="H11" s="218" t="s">
        <v>15519</v>
      </c>
      <c r="I11" s="219" t="s">
        <v>14192</v>
      </c>
      <c r="J11" s="219" t="s">
        <v>6376</v>
      </c>
      <c r="K11" s="273"/>
      <c r="L11" s="273"/>
      <c r="M11" s="273"/>
      <c r="N11" s="273"/>
      <c r="O11" s="273" t="s">
        <v>15507</v>
      </c>
      <c r="P11" s="220"/>
      <c r="Q11" s="274"/>
      <c r="R11" s="217" t="str">
        <f ca="1">IF(ISERROR($V11),"",OFFSET('Smelter Look-up'!$C$4,$V11-4,0)&amp;"")</f>
        <v>CGR Metalloys Pvt Ltd.</v>
      </c>
      <c r="S11" s="225" t="str">
        <f t="shared" ca="1" si="3"/>
        <v>IN</v>
      </c>
      <c r="T11" s="225" t="str">
        <f ca="1">IF(B11="","",IF(ISERROR(MATCH($J11,SorP!$B$1:$B$6230,0)),"",INDIRECT("'SorP'!$A$"&amp;MATCH($J11,SorP!$B$1:$B$6230,0))))</f>
        <v>IN-KL</v>
      </c>
      <c r="U11" s="241"/>
      <c r="V11" s="275">
        <f>IF(C11="",NA(),MATCH($B11&amp;$C11,'Smelter Look-up'!$J:$J,0))</f>
        <v>49</v>
      </c>
      <c r="W11" s="276"/>
      <c r="X11" s="276">
        <f t="shared" si="4"/>
        <v>0</v>
      </c>
      <c r="Y11" s="276"/>
      <c r="Z11" s="276"/>
      <c r="AB11" s="278" t="str">
        <f t="shared" si="5"/>
        <v>GoldCGR Metalloys Pvt Ltd.</v>
      </c>
    </row>
    <row r="12" spans="1:34" s="277" customFormat="1" ht="19.95" customHeight="1">
      <c r="A12" s="332" t="s">
        <v>14135</v>
      </c>
      <c r="B12" s="217" t="s">
        <v>1153</v>
      </c>
      <c r="C12" s="221" t="s">
        <v>14134</v>
      </c>
      <c r="D12" s="283" t="s">
        <v>14134</v>
      </c>
      <c r="E12" s="217" t="s">
        <v>1115</v>
      </c>
      <c r="F12" s="217" t="str">
        <f ca="1">IF(ISERROR($V12),"",OFFSET('Smelter Look-up'!$E$4,$V12-4,0))</f>
        <v>CID003348</v>
      </c>
      <c r="G12" s="217" t="str">
        <f ca="1">IF(C12=$X$4,"Enter smelter details",IF(ISERROR($V12),"",OFFSET('Smelter Look-up'!$F$4,$V12-4,0)))</f>
        <v>RMI</v>
      </c>
      <c r="H12" s="218" t="s">
        <v>15520</v>
      </c>
      <c r="I12" s="219" t="s">
        <v>14180</v>
      </c>
      <c r="J12" s="219" t="s">
        <v>2721</v>
      </c>
      <c r="K12" s="273"/>
      <c r="L12" s="273"/>
      <c r="M12" s="273"/>
      <c r="N12" s="273"/>
      <c r="O12" s="273" t="s">
        <v>15521</v>
      </c>
      <c r="P12" s="220"/>
      <c r="Q12" s="274"/>
      <c r="R12" s="217" t="str">
        <f ca="1">IF(ISERROR($V12),"",OFFSET('Smelter Look-up'!$C$4,$V12-4,0)&amp;"")</f>
        <v>Dijllah Gold Refinery FZC</v>
      </c>
      <c r="S12" s="225" t="str">
        <f t="shared" ca="1" si="3"/>
        <v>AE</v>
      </c>
      <c r="T12" s="225" t="str">
        <f ca="1">IF(B12="","",IF(ISERROR(MATCH($J12,SorP!$B$1:$B$6230,0)),"",INDIRECT("'SorP'!$A$"&amp;MATCH($J12,SorP!$B$1:$B$6230,0))))</f>
        <v>AE-SH</v>
      </c>
      <c r="U12" s="241"/>
      <c r="V12" s="275">
        <f>IF(C12="",NA(),MATCH($B12&amp;$C12,'Smelter Look-up'!$J:$J,0))</f>
        <v>58</v>
      </c>
      <c r="W12" s="276"/>
      <c r="X12" s="276">
        <f t="shared" si="4"/>
        <v>0</v>
      </c>
      <c r="Y12" s="276"/>
      <c r="Z12" s="276"/>
      <c r="AB12" s="278" t="str">
        <f t="shared" si="5"/>
        <v>GoldDijllah Gold Refinery FZC</v>
      </c>
    </row>
    <row r="13" spans="1:34" s="277" customFormat="1" ht="19.95" customHeight="1">
      <c r="A13" s="332" t="s">
        <v>13516</v>
      </c>
      <c r="B13" s="217" t="s">
        <v>1153</v>
      </c>
      <c r="C13" s="221" t="s">
        <v>13515</v>
      </c>
      <c r="D13" s="283" t="s">
        <v>13515</v>
      </c>
      <c r="E13" s="217" t="s">
        <v>2576</v>
      </c>
      <c r="F13" s="217" t="str">
        <f ca="1">IF(ISERROR($V13),"",OFFSET('Smelter Look-up'!$E$4,$V13-4,0))</f>
        <v>CID003324</v>
      </c>
      <c r="G13" s="217" t="str">
        <f ca="1">IF(C13=$X$4,"Enter smelter details",IF(ISERROR($V13),"",OFFSET('Smelter Look-up'!$F$4,$V13-4,0)))</f>
        <v>RMI</v>
      </c>
      <c r="H13" s="218" t="s">
        <v>15522</v>
      </c>
      <c r="I13" s="219" t="s">
        <v>13576</v>
      </c>
      <c r="J13" s="219" t="s">
        <v>1666</v>
      </c>
      <c r="K13" s="273"/>
      <c r="L13" s="273"/>
      <c r="M13" s="273"/>
      <c r="N13" s="273"/>
      <c r="O13" s="273" t="s">
        <v>15523</v>
      </c>
      <c r="P13" s="220"/>
      <c r="Q13" s="274"/>
      <c r="R13" s="217" t="str">
        <f ca="1">IF(ISERROR($V13),"",OFFSET('Smelter Look-up'!$C$4,$V13-4,0)&amp;"")</f>
        <v>QG Refining, LLC</v>
      </c>
      <c r="S13" s="225" t="str">
        <f t="shared" ca="1" si="3"/>
        <v>US</v>
      </c>
      <c r="T13" s="225" t="str">
        <f ca="1">IF(B13="","",IF(ISERROR(MATCH($J13,SorP!$B$1:$B$6230,0)),"",INDIRECT("'SorP'!$A$"&amp;MATCH($J13,SorP!$B$1:$B$6230,0))))</f>
        <v>US-OH</v>
      </c>
      <c r="U13" s="241"/>
      <c r="V13" s="275">
        <f>IF(C13="",NA(),MATCH($B13&amp;$C13,'Smelter Look-up'!$J:$J,0))</f>
        <v>196</v>
      </c>
      <c r="W13" s="276"/>
      <c r="X13" s="276">
        <f t="shared" si="4"/>
        <v>0</v>
      </c>
      <c r="Y13" s="276"/>
      <c r="Z13" s="276"/>
      <c r="AB13" s="278" t="str">
        <f t="shared" si="5"/>
        <v>GoldQG Refining, LLC</v>
      </c>
    </row>
    <row r="14" spans="1:34" s="277" customFormat="1" ht="19.95" customHeight="1">
      <c r="A14" s="332" t="s">
        <v>13253</v>
      </c>
      <c r="B14" s="217" t="s">
        <v>1153</v>
      </c>
      <c r="C14" s="221" t="s">
        <v>13252</v>
      </c>
      <c r="D14" s="283" t="s">
        <v>13252</v>
      </c>
      <c r="E14" s="217" t="s">
        <v>1134</v>
      </c>
      <c r="F14" s="217" t="str">
        <f ca="1">IF(ISERROR($V14),"",OFFSET('Smelter Look-up'!$E$4,$V14-4,0))</f>
        <v>CID003195</v>
      </c>
      <c r="G14" s="217" t="str">
        <f ca="1">IF(C14=$X$4,"Enter smelter details",IF(ISERROR($V14),"",OFFSET('Smelter Look-up'!$F$4,$V14-4,0)))</f>
        <v>RMI</v>
      </c>
      <c r="H14" s="218" t="s">
        <v>15524</v>
      </c>
      <c r="I14" s="219" t="s">
        <v>13274</v>
      </c>
      <c r="J14" s="219" t="s">
        <v>13199</v>
      </c>
      <c r="K14" s="273"/>
      <c r="L14" s="273"/>
      <c r="M14" s="273"/>
      <c r="N14" s="273" t="s">
        <v>15525</v>
      </c>
      <c r="O14" s="273" t="s">
        <v>15526</v>
      </c>
      <c r="P14" s="220"/>
      <c r="Q14" s="274" t="s">
        <v>15513</v>
      </c>
      <c r="R14" s="217" t="str">
        <f ca="1">IF(ISERROR($V14),"",OFFSET('Smelter Look-up'!$C$4,$V14-4,0)&amp;"")</f>
        <v>DS PRETECH Co., Ltd.</v>
      </c>
      <c r="S14" s="225" t="str">
        <f t="shared" ca="1" si="3"/>
        <v>KR</v>
      </c>
      <c r="T14" s="225" t="str">
        <f ca="1">IF(B14="","",IF(ISERROR(MATCH($J14,SorP!$B$1:$B$6230,0)),"",INDIRECT("'SorP'!$A$"&amp;MATCH($J14,SorP!$B$1:$B$6230,0))))</f>
        <v>KR-43</v>
      </c>
      <c r="U14" s="241"/>
      <c r="V14" s="275">
        <f>IF(C14="",NA(),MATCH($B14&amp;$C14,'Smelter Look-up'!$J:$J,0))</f>
        <v>67</v>
      </c>
      <c r="W14" s="276"/>
      <c r="X14" s="276">
        <f t="shared" si="4"/>
        <v>0</v>
      </c>
      <c r="Y14" s="276"/>
      <c r="Z14" s="276"/>
      <c r="AB14" s="278" t="str">
        <f t="shared" si="5"/>
        <v>GoldDS PRETECH Co., Ltd.</v>
      </c>
    </row>
    <row r="15" spans="1:34" s="277" customFormat="1" ht="19.95" customHeight="1">
      <c r="A15" s="332" t="s">
        <v>13256</v>
      </c>
      <c r="B15" s="217" t="s">
        <v>1153</v>
      </c>
      <c r="C15" s="221" t="s">
        <v>13255</v>
      </c>
      <c r="D15" s="283" t="s">
        <v>13255</v>
      </c>
      <c r="E15" s="217" t="s">
        <v>1134</v>
      </c>
      <c r="F15" s="217" t="str">
        <f ca="1">IF(ISERROR($V15),"",OFFSET('Smelter Look-up'!$E$4,$V15-4,0))</f>
        <v>CID003189</v>
      </c>
      <c r="G15" s="217" t="str">
        <f ca="1">IF(C15=$X$4,"Enter smelter details",IF(ISERROR($V15),"",OFFSET('Smelter Look-up'!$F$4,$V15-4,0)))</f>
        <v>RMI</v>
      </c>
      <c r="H15" s="218" t="s">
        <v>15527</v>
      </c>
      <c r="I15" s="219" t="s">
        <v>13275</v>
      </c>
      <c r="J15" s="219" t="s">
        <v>13202</v>
      </c>
      <c r="K15" s="273"/>
      <c r="L15" s="273"/>
      <c r="M15" s="273"/>
      <c r="N15" s="273"/>
      <c r="O15" s="273" t="s">
        <v>15528</v>
      </c>
      <c r="P15" s="220"/>
      <c r="Q15" s="274"/>
      <c r="R15" s="217" t="str">
        <f ca="1">IF(ISERROR($V15),"",OFFSET('Smelter Look-up'!$C$4,$V15-4,0)&amp;"")</f>
        <v>NH Recytech Company</v>
      </c>
      <c r="S15" s="225" t="str">
        <f t="shared" ca="1" si="3"/>
        <v>KR</v>
      </c>
      <c r="T15" s="225" t="str">
        <f ca="1">IF(B15="","",IF(ISERROR(MATCH($J15,SorP!$B$1:$B$6230,0)),"",INDIRECT("'SorP'!$A$"&amp;MATCH($J15,SorP!$B$1:$B$6230,0))))</f>
        <v>KR-41</v>
      </c>
      <c r="U15" s="241"/>
      <c r="V15" s="275">
        <f>IF(C15="",NA(),MATCH($B15&amp;$C15,'Smelter Look-up'!$J:$J,0))</f>
        <v>174</v>
      </c>
      <c r="W15" s="276"/>
      <c r="X15" s="276">
        <f t="shared" si="4"/>
        <v>0</v>
      </c>
      <c r="Y15" s="276"/>
      <c r="Z15" s="276"/>
      <c r="AB15" s="278" t="str">
        <f t="shared" si="5"/>
        <v>GoldNH Recytech Company</v>
      </c>
    </row>
    <row r="16" spans="1:34" s="277" customFormat="1" ht="19.95" customHeight="1">
      <c r="A16" s="332" t="s">
        <v>14235</v>
      </c>
      <c r="B16" s="217" t="s">
        <v>1153</v>
      </c>
      <c r="C16" s="221" t="s">
        <v>14212</v>
      </c>
      <c r="D16" s="283" t="s">
        <v>14212</v>
      </c>
      <c r="E16" s="217" t="s">
        <v>13350</v>
      </c>
      <c r="F16" s="217" t="str">
        <f ca="1">IF(ISERROR($V16),"",OFFSET('Smelter Look-up'!$E$4,$V16-4,0))</f>
        <v>CID003186</v>
      </c>
      <c r="G16" s="217" t="str">
        <f ca="1">IF(C16=$X$4,"Enter smelter details",IF(ISERROR($V16),"",OFFSET('Smelter Look-up'!$F$4,$V16-4,0)))</f>
        <v>RMI</v>
      </c>
      <c r="H16" s="218" t="s">
        <v>15529</v>
      </c>
      <c r="I16" s="219" t="s">
        <v>14411</v>
      </c>
      <c r="J16" s="219" t="s">
        <v>14411</v>
      </c>
      <c r="K16" s="273"/>
      <c r="L16" s="273"/>
      <c r="M16" s="273"/>
      <c r="N16" s="273"/>
      <c r="O16" s="273" t="s">
        <v>15507</v>
      </c>
      <c r="P16" s="220"/>
      <c r="Q16" s="274"/>
      <c r="R16" s="217" t="str">
        <f ca="1">IF(ISERROR($V16),"",OFFSET('Smelter Look-up'!$C$4,$V16-4,0)&amp;"")</f>
        <v>Gold Coast Refinery</v>
      </c>
      <c r="S16" s="225" t="str">
        <f t="shared" ca="1" si="3"/>
        <v>GH</v>
      </c>
      <c r="T16" s="225" t="str">
        <f ca="1">IF(B16="","",IF(ISERROR(MATCH($J16,SorP!$B$1:$B$6230,0)),"",INDIRECT("'SorP'!$A$"&amp;MATCH($J16,SorP!$B$1:$B$6230,0))))</f>
        <v/>
      </c>
      <c r="U16" s="241"/>
      <c r="V16" s="275">
        <f>IF(C16="",NA(),MATCH($B16&amp;$C16,'Smelter Look-up'!$J:$J,0))</f>
        <v>81</v>
      </c>
      <c r="W16" s="276"/>
      <c r="X16" s="276">
        <f t="shared" si="4"/>
        <v>0</v>
      </c>
      <c r="Y16" s="276"/>
      <c r="Z16" s="276"/>
      <c r="AB16" s="278" t="str">
        <f t="shared" si="5"/>
        <v>GoldGold Coast Refinery</v>
      </c>
    </row>
    <row r="17" spans="1:28" s="277" customFormat="1" ht="19.95" customHeight="1">
      <c r="A17" s="332" t="s">
        <v>13250</v>
      </c>
      <c r="B17" s="217" t="s">
        <v>1153</v>
      </c>
      <c r="C17" s="221" t="s">
        <v>13249</v>
      </c>
      <c r="D17" s="283" t="s">
        <v>13249</v>
      </c>
      <c r="E17" s="217" t="s">
        <v>913</v>
      </c>
      <c r="F17" s="217" t="str">
        <f ca="1">IF(ISERROR($V17),"",OFFSET('Smelter Look-up'!$E$4,$V17-4,0))</f>
        <v>CID003185</v>
      </c>
      <c r="G17" s="217" t="str">
        <f ca="1">IF(C17=$X$4,"Enter smelter details",IF(ISERROR($V17),"",OFFSET('Smelter Look-up'!$F$4,$V17-4,0)))</f>
        <v>RMI</v>
      </c>
      <c r="H17" s="218" t="s">
        <v>15530</v>
      </c>
      <c r="I17" s="219" t="s">
        <v>13280</v>
      </c>
      <c r="J17" s="219" t="s">
        <v>11991</v>
      </c>
      <c r="K17" s="273"/>
      <c r="L17" s="273"/>
      <c r="M17" s="273"/>
      <c r="N17" s="273"/>
      <c r="O17" s="273" t="s">
        <v>15531</v>
      </c>
      <c r="P17" s="220"/>
      <c r="Q17" s="274"/>
      <c r="R17" s="217" t="str">
        <f ca="1">IF(ISERROR($V17),"",OFFSET('Smelter Look-up'!$C$4,$V17-4,0)&amp;"")</f>
        <v>African Gold Refinery</v>
      </c>
      <c r="S17" s="225" t="str">
        <f t="shared" ca="1" si="3"/>
        <v>UG</v>
      </c>
      <c r="T17" s="225" t="str">
        <f ca="1">IF(B17="","",IF(ISERROR(MATCH($J17,SorP!$B$1:$B$6230,0)),"",INDIRECT("'SorP'!$A$"&amp;MATCH($J17,SorP!$B$1:$B$6230,0))))</f>
        <v>UG-113</v>
      </c>
      <c r="U17" s="241"/>
      <c r="V17" s="275">
        <f>IF(C17="",NA(),MATCH($B17&amp;$C17,'Smelter Look-up'!$J:$J,0))</f>
        <v>8</v>
      </c>
      <c r="W17" s="276"/>
      <c r="X17" s="276">
        <f t="shared" si="4"/>
        <v>0</v>
      </c>
      <c r="Y17" s="276"/>
      <c r="Z17" s="276"/>
      <c r="AB17" s="278" t="str">
        <f t="shared" si="5"/>
        <v>GoldAfrican Gold Refinery</v>
      </c>
    </row>
    <row r="18" spans="1:28" s="277" customFormat="1" ht="19.95" customHeight="1">
      <c r="A18" s="216" t="s">
        <v>2668</v>
      </c>
      <c r="B18" s="217" t="s">
        <v>1153</v>
      </c>
      <c r="C18" s="221" t="s">
        <v>2667</v>
      </c>
      <c r="D18" s="283" t="s">
        <v>2667</v>
      </c>
      <c r="E18" s="217" t="s">
        <v>1135</v>
      </c>
      <c r="F18" s="217" t="str">
        <f ca="1">IF(ISERROR($V18),"",OFFSET('Smelter Look-up'!$E$4,$V18-4,0))</f>
        <v>CID003153</v>
      </c>
      <c r="G18" s="217" t="str">
        <f ca="1">IF(C18=$X$4,"Enter smelter details",IF(ISERROR($V18),"",OFFSET('Smelter Look-up'!$F$4,$V18-4,0)))</f>
        <v>RMI</v>
      </c>
      <c r="H18" s="218" t="s">
        <v>15532</v>
      </c>
      <c r="I18" s="219" t="s">
        <v>2669</v>
      </c>
      <c r="J18" s="219" t="s">
        <v>2669</v>
      </c>
      <c r="K18" s="273"/>
      <c r="L18" s="273"/>
      <c r="M18" s="273"/>
      <c r="N18" s="273"/>
      <c r="O18" s="273" t="s">
        <v>15533</v>
      </c>
      <c r="P18" s="220"/>
      <c r="Q18" s="274"/>
      <c r="R18" s="217" t="str">
        <f ca="1">IF(ISERROR($V18),"",OFFSET('Smelter Look-up'!$C$4,$V18-4,0)&amp;"")</f>
        <v>State Research Institute Center for Physical Sciences and Technology</v>
      </c>
      <c r="S18" s="225" t="str">
        <f t="shared" ca="1" si="3"/>
        <v>LT</v>
      </c>
      <c r="T18" s="225" t="str">
        <f ca="1">IF(B18="","",IF(ISERROR(MATCH($J18,SorP!$B$1:$B$6230,0)),"",INDIRECT("'SorP'!$A$"&amp;MATCH($J18,SorP!$B$1:$B$6230,0))))</f>
        <v>LT-58</v>
      </c>
      <c r="U18" s="241"/>
      <c r="V18" s="275">
        <f>IF(C18="",NA(),MATCH($B18&amp;$C18,'Smelter Look-up'!$J:$J,0))</f>
        <v>237</v>
      </c>
      <c r="W18" s="276"/>
      <c r="X18" s="276">
        <f t="shared" si="4"/>
        <v>0</v>
      </c>
      <c r="Y18" s="276"/>
      <c r="Z18" s="276"/>
      <c r="AB18" s="278" t="str">
        <f t="shared" si="5"/>
        <v>GoldState Research Institute Center for Physical Sciences and Technology</v>
      </c>
    </row>
    <row r="19" spans="1:28" s="277" customFormat="1" ht="88.2">
      <c r="A19" s="216" t="s">
        <v>2666</v>
      </c>
      <c r="B19" s="217" t="s">
        <v>1153</v>
      </c>
      <c r="C19" s="221" t="s">
        <v>2665</v>
      </c>
      <c r="D19" s="283" t="s">
        <v>2665</v>
      </c>
      <c r="E19" s="217" t="s">
        <v>1130</v>
      </c>
      <c r="F19" s="217" t="str">
        <f ca="1">IF(ISERROR($V19),"",OFFSET('Smelter Look-up'!$E$4,$V19-4,0))</f>
        <v>CID002973</v>
      </c>
      <c r="G19" s="217" t="str">
        <f ca="1">IF(C19=$X$4,"Enter smelter details",IF(ISERROR($V19),"",OFFSET('Smelter Look-up'!$F$4,$V19-4,0)))</f>
        <v>RMI</v>
      </c>
      <c r="H19" s="218" t="s">
        <v>15534</v>
      </c>
      <c r="I19" s="219" t="s">
        <v>1599</v>
      </c>
      <c r="J19" s="219" t="s">
        <v>6691</v>
      </c>
      <c r="K19" s="273"/>
      <c r="L19" s="273"/>
      <c r="M19" s="273"/>
      <c r="N19" s="273" t="s">
        <v>15535</v>
      </c>
      <c r="O19" s="273" t="s">
        <v>15536</v>
      </c>
      <c r="P19" s="220"/>
      <c r="Q19" s="274" t="s">
        <v>15513</v>
      </c>
      <c r="R19" s="217" t="str">
        <f ca="1">IF(ISERROR($V19),"",OFFSET('Smelter Look-up'!$C$4,$V19-4,0)&amp;"")</f>
        <v>Safimet S.p.A</v>
      </c>
      <c r="S19" s="225" t="str">
        <f t="shared" ca="1" si="3"/>
        <v>IT</v>
      </c>
      <c r="T19" s="225" t="str">
        <f ca="1">IF(B19="","",IF(ISERROR(MATCH($J19,SorP!$B$1:$B$6230,0)),"",INDIRECT("'SorP'!$A$"&amp;MATCH($J19,SorP!$B$1:$B$6230,0))))</f>
        <v>IT-52</v>
      </c>
      <c r="U19" s="241"/>
      <c r="V19" s="275">
        <f>IF(C19="",NA(),MATCH($B19&amp;$C19,'Smelter Look-up'!$J:$J,0))</f>
        <v>205</v>
      </c>
      <c r="W19" s="276"/>
      <c r="X19" s="276">
        <f t="shared" si="4"/>
        <v>0</v>
      </c>
      <c r="Y19" s="276"/>
      <c r="Z19" s="276"/>
      <c r="AB19" s="278" t="str">
        <f t="shared" si="5"/>
        <v>GoldSafimet S.p.A</v>
      </c>
    </row>
    <row r="20" spans="1:28" s="277" customFormat="1" ht="163.80000000000001">
      <c r="A20" s="216" t="s">
        <v>2662</v>
      </c>
      <c r="B20" s="217" t="s">
        <v>1153</v>
      </c>
      <c r="C20" s="221" t="s">
        <v>2661</v>
      </c>
      <c r="D20" s="283" t="s">
        <v>2661</v>
      </c>
      <c r="E20" s="217" t="s">
        <v>1122</v>
      </c>
      <c r="F20" s="217" t="str">
        <f ca="1">IF(ISERROR($V20),"",OFFSET('Smelter Look-up'!$E$4,$V20-4,0))</f>
        <v>CID002919</v>
      </c>
      <c r="G20" s="217" t="str">
        <f ca="1">IF(C20=$X$4,"Enter smelter details",IF(ISERROR($V20),"",OFFSET('Smelter Look-up'!$F$4,$V20-4,0)))</f>
        <v>RMI</v>
      </c>
      <c r="H20" s="218" t="s">
        <v>15537</v>
      </c>
      <c r="I20" s="219" t="s">
        <v>2663</v>
      </c>
      <c r="J20" s="219" t="s">
        <v>2664</v>
      </c>
      <c r="K20" s="273"/>
      <c r="L20" s="273"/>
      <c r="M20" s="273"/>
      <c r="N20" s="273" t="s">
        <v>15538</v>
      </c>
      <c r="O20" s="273" t="s">
        <v>15539</v>
      </c>
      <c r="P20" s="220"/>
      <c r="Q20" s="274" t="s">
        <v>15513</v>
      </c>
      <c r="R20" s="217" t="str">
        <f ca="1">IF(ISERROR($V20),"",OFFSET('Smelter Look-up'!$C$4,$V20-4,0)&amp;"")</f>
        <v>Planta Recuperadora de Metales SpA</v>
      </c>
      <c r="S20" s="225" t="str">
        <f t="shared" ca="1" si="3"/>
        <v>CL</v>
      </c>
      <c r="T20" s="225" t="str">
        <f ca="1">IF(B20="","",IF(ISERROR(MATCH($J20,SorP!$B$1:$B$6230,0)),"",INDIRECT("'SorP'!$A$"&amp;MATCH($J20,SorP!$B$1:$B$6230,0))))</f>
        <v>CL-AN</v>
      </c>
      <c r="U20" s="241"/>
      <c r="V20" s="275">
        <f>IF(C20="",NA(),MATCH($B20&amp;$C20,'Smelter Look-up'!$J:$J,0))</f>
        <v>190</v>
      </c>
      <c r="W20" s="276"/>
      <c r="X20" s="276">
        <f t="shared" si="4"/>
        <v>0</v>
      </c>
      <c r="Y20" s="276"/>
      <c r="Z20" s="276"/>
      <c r="AB20" s="278" t="str">
        <f t="shared" si="5"/>
        <v>GoldPlanta Recuperadora de Metales SpA</v>
      </c>
    </row>
    <row r="21" spans="1:28" s="277" customFormat="1" ht="189">
      <c r="A21" s="216" t="s">
        <v>2596</v>
      </c>
      <c r="B21" s="217" t="s">
        <v>1153</v>
      </c>
      <c r="C21" s="221" t="s">
        <v>13260</v>
      </c>
      <c r="D21" s="283" t="s">
        <v>13260</v>
      </c>
      <c r="E21" s="217" t="s">
        <v>1134</v>
      </c>
      <c r="F21" s="217" t="str">
        <f ca="1">IF(ISERROR($V21),"",OFFSET('Smelter Look-up'!$E$4,$V21-4,0))</f>
        <v>CID002918</v>
      </c>
      <c r="G21" s="217" t="str">
        <f ca="1">IF(C21=$X$4,"Enter smelter details",IF(ISERROR($V21),"",OFFSET('Smelter Look-up'!$F$4,$V21-4,0)))</f>
        <v>RMI</v>
      </c>
      <c r="H21" s="218" t="s">
        <v>15540</v>
      </c>
      <c r="I21" s="219" t="s">
        <v>13276</v>
      </c>
      <c r="J21" s="219" t="s">
        <v>13205</v>
      </c>
      <c r="K21" s="273"/>
      <c r="L21" s="273"/>
      <c r="M21" s="273"/>
      <c r="N21" s="273" t="s">
        <v>15541</v>
      </c>
      <c r="O21" s="273" t="s">
        <v>15542</v>
      </c>
      <c r="P21" s="220"/>
      <c r="Q21" s="274" t="s">
        <v>15513</v>
      </c>
      <c r="R21" s="217" t="str">
        <f ca="1">IF(ISERROR($V21),"",OFFSET('Smelter Look-up'!$C$4,$V21-4,0)&amp;"")</f>
        <v>SungEel HiMetal Co., Ltd.</v>
      </c>
      <c r="S21" s="225" t="str">
        <f t="shared" ca="1" si="3"/>
        <v>KR</v>
      </c>
      <c r="T21" s="225" t="str">
        <f ca="1">IF(B21="","",IF(ISERROR(MATCH($J21,SorP!$B$1:$B$6230,0)),"",INDIRECT("'SorP'!$A$"&amp;MATCH($J21,SorP!$B$1:$B$6230,0))))</f>
        <v>KR-45</v>
      </c>
      <c r="U21" s="241"/>
      <c r="V21" s="275">
        <f>IF(C21="",NA(),MATCH($B21&amp;$C21,'Smelter Look-up'!$J:$J,0))</f>
        <v>241</v>
      </c>
      <c r="W21" s="276"/>
      <c r="X21" s="276">
        <f t="shared" si="4"/>
        <v>0</v>
      </c>
      <c r="Y21" s="276"/>
      <c r="Z21" s="276"/>
      <c r="AB21" s="278" t="str">
        <f t="shared" si="5"/>
        <v>GoldSungEel HiMetal Co., Ltd.</v>
      </c>
    </row>
    <row r="22" spans="1:28" s="277" customFormat="1" ht="50.4">
      <c r="A22" s="216" t="s">
        <v>14236</v>
      </c>
      <c r="B22" s="217" t="s">
        <v>1153</v>
      </c>
      <c r="C22" s="221" t="s">
        <v>14217</v>
      </c>
      <c r="D22" s="283" t="s">
        <v>14217</v>
      </c>
      <c r="E22" s="217" t="s">
        <v>1129</v>
      </c>
      <c r="F22" s="217" t="str">
        <f ca="1">IF(ISERROR($V22),"",OFFSET('Smelter Look-up'!$E$4,$V22-4,0))</f>
        <v>CID002893</v>
      </c>
      <c r="G22" s="217" t="str">
        <f ca="1">IF(C22=$X$4,"Enter smelter details",IF(ISERROR($V22),"",OFFSET('Smelter Look-up'!$F$4,$V22-4,0)))</f>
        <v>RMI</v>
      </c>
      <c r="H22" s="218" t="s">
        <v>15543</v>
      </c>
      <c r="I22" s="219" t="s">
        <v>14251</v>
      </c>
      <c r="J22" s="219" t="s">
        <v>6396</v>
      </c>
      <c r="K22" s="273"/>
      <c r="L22" s="273"/>
      <c r="M22" s="273"/>
      <c r="N22" s="273"/>
      <c r="O22" s="273" t="s">
        <v>15518</v>
      </c>
      <c r="P22" s="220"/>
      <c r="Q22" s="274"/>
      <c r="R22" s="217" t="str">
        <f ca="1">IF(ISERROR($V22),"",OFFSET('Smelter Look-up'!$C$4,$V22-4,0)&amp;"")</f>
        <v>JALAN &amp; Company</v>
      </c>
      <c r="S22" s="225" t="str">
        <f t="shared" ca="1" si="3"/>
        <v>IN</v>
      </c>
      <c r="T22" s="225" t="str">
        <f ca="1">IF(B22="","",IF(ISERROR(MATCH($J22,SorP!$B$1:$B$6230,0)),"",INDIRECT("'SorP'!$A$"&amp;MATCH($J22,SorP!$B$1:$B$6230,0))))</f>
        <v>IN-DL</v>
      </c>
      <c r="U22" s="241"/>
      <c r="V22" s="275">
        <f>IF(C22="",NA(),MATCH($B22&amp;$C22,'Smelter Look-up'!$J:$J,0))</f>
        <v>110</v>
      </c>
      <c r="W22" s="276"/>
      <c r="X22" s="276">
        <f t="shared" si="4"/>
        <v>0</v>
      </c>
      <c r="Y22" s="276"/>
      <c r="Z22" s="276"/>
      <c r="AB22" s="278" t="str">
        <f t="shared" si="5"/>
        <v>GoldJALAN &amp; Company</v>
      </c>
    </row>
    <row r="23" spans="1:28" s="277" customFormat="1" ht="37.799999999999997">
      <c r="A23" s="216" t="s">
        <v>2586</v>
      </c>
      <c r="B23" s="217" t="s">
        <v>1153</v>
      </c>
      <c r="C23" s="221" t="s">
        <v>2585</v>
      </c>
      <c r="D23" s="283" t="s">
        <v>2585</v>
      </c>
      <c r="E23" s="217" t="s">
        <v>2576</v>
      </c>
      <c r="F23" s="217" t="str">
        <f ca="1">IF(ISERROR($V23),"",OFFSET('Smelter Look-up'!$E$4,$V23-4,0))</f>
        <v>CID002872</v>
      </c>
      <c r="G23" s="217" t="str">
        <f ca="1">IF(C23=$X$4,"Enter smelter details",IF(ISERROR($V23),"",OFFSET('Smelter Look-up'!$F$4,$V23-4,0)))</f>
        <v>RMI</v>
      </c>
      <c r="H23" s="218" t="s">
        <v>15544</v>
      </c>
      <c r="I23" s="219" t="s">
        <v>1568</v>
      </c>
      <c r="J23" s="219" t="s">
        <v>1569</v>
      </c>
      <c r="K23" s="273"/>
      <c r="L23" s="273"/>
      <c r="M23" s="273"/>
      <c r="N23" s="273"/>
      <c r="O23" s="273" t="s">
        <v>15545</v>
      </c>
      <c r="P23" s="220"/>
      <c r="Q23" s="274"/>
      <c r="R23" s="217" t="str">
        <f ca="1">IF(ISERROR($V23),"",OFFSET('Smelter Look-up'!$C$4,$V23-4,0)&amp;"")</f>
        <v>Pease &amp; Curren</v>
      </c>
      <c r="S23" s="225" t="str">
        <f t="shared" ca="1" si="3"/>
        <v>US</v>
      </c>
      <c r="T23" s="225" t="str">
        <f ca="1">IF(B23="","",IF(ISERROR(MATCH($J23,SorP!$B$1:$B$6230,0)),"",INDIRECT("'SorP'!$A$"&amp;MATCH($J23,SorP!$B$1:$B$6230,0))))</f>
        <v>US-RI</v>
      </c>
      <c r="U23" s="241"/>
      <c r="V23" s="275">
        <f>IF(C23="",NA(),MATCH($B23&amp;$C23,'Smelter Look-up'!$J:$J,0))</f>
        <v>186</v>
      </c>
      <c r="W23" s="276"/>
      <c r="X23" s="276">
        <f t="shared" si="4"/>
        <v>0</v>
      </c>
      <c r="Y23" s="276"/>
      <c r="Z23" s="276"/>
      <c r="AB23" s="278" t="str">
        <f t="shared" si="5"/>
        <v>GoldPease &amp; Curren</v>
      </c>
    </row>
    <row r="24" spans="1:28" s="277" customFormat="1" ht="88.2">
      <c r="A24" s="216" t="s">
        <v>2581</v>
      </c>
      <c r="B24" s="217" t="s">
        <v>1153</v>
      </c>
      <c r="C24" s="221" t="s">
        <v>2580</v>
      </c>
      <c r="D24" s="283" t="s">
        <v>2580</v>
      </c>
      <c r="E24" s="217" t="s">
        <v>1124</v>
      </c>
      <c r="F24" s="217" t="str">
        <f ca="1">IF(ISERROR($V24),"",OFFSET('Smelter Look-up'!$E$4,$V24-4,0))</f>
        <v>CID002867</v>
      </c>
      <c r="G24" s="217" t="str">
        <f ca="1">IF(C24=$X$4,"Enter smelter details",IF(ISERROR($V24),"",OFFSET('Smelter Look-up'!$F$4,$V24-4,0)))</f>
        <v>RMI</v>
      </c>
      <c r="H24" s="218" t="s">
        <v>15546</v>
      </c>
      <c r="I24" s="219" t="s">
        <v>1572</v>
      </c>
      <c r="J24" s="219" t="s">
        <v>1573</v>
      </c>
      <c r="K24" s="273"/>
      <c r="L24" s="273"/>
      <c r="M24" s="273"/>
      <c r="N24" s="273"/>
      <c r="O24" s="273" t="s">
        <v>15547</v>
      </c>
      <c r="P24" s="220"/>
      <c r="Q24" s="274"/>
      <c r="R24" s="217" t="str">
        <f ca="1">IF(ISERROR($V24),"",OFFSET('Smelter Look-up'!$C$4,$V24-4,0)&amp;"")</f>
        <v>Degussa Sonne / Mond Goldhandel GmbH</v>
      </c>
      <c r="S24" s="225" t="str">
        <f t="shared" ca="1" si="3"/>
        <v>DE</v>
      </c>
      <c r="T24" s="225" t="str">
        <f ca="1">IF(B24="","",IF(ISERROR(MATCH($J24,SorP!$B$1:$B$6230,0)),"",INDIRECT("'SorP'!$A$"&amp;MATCH($J24,SorP!$B$1:$B$6230,0))))</f>
        <v>DE-BW</v>
      </c>
      <c r="U24" s="241"/>
      <c r="V24" s="275">
        <f>IF(C24="",NA(),MATCH($B24&amp;$C24,'Smelter Look-up'!$J:$J,0))</f>
        <v>57</v>
      </c>
      <c r="W24" s="276"/>
      <c r="X24" s="276">
        <f t="shared" si="4"/>
        <v>0</v>
      </c>
      <c r="Y24" s="276"/>
      <c r="Z24" s="276"/>
      <c r="AB24" s="278" t="str">
        <f t="shared" si="5"/>
        <v>GoldDegussa Sonne / Mond Goldhandel GmbH</v>
      </c>
    </row>
    <row r="25" spans="1:28" s="277" customFormat="1" ht="88.2">
      <c r="A25" s="216" t="s">
        <v>2654</v>
      </c>
      <c r="B25" s="217" t="s">
        <v>1153</v>
      </c>
      <c r="C25" s="221" t="s">
        <v>15548</v>
      </c>
      <c r="D25" s="283" t="s">
        <v>15548</v>
      </c>
      <c r="E25" s="217" t="s">
        <v>906</v>
      </c>
      <c r="F25" s="217" t="str">
        <f ca="1">IF(ISERROR($V25),"",OFFSET('Smelter Look-up'!$E$4,$V25-4,0))</f>
        <v>CID002865</v>
      </c>
      <c r="G25" s="217" t="str">
        <f ca="1">IF(C25=$X$4,"Enter smelter details",IF(ISERROR($V25),"",OFFSET('Smelter Look-up'!$F$4,$V25-4,0)))</f>
        <v>RMI</v>
      </c>
      <c r="H25" s="218" t="s">
        <v>15549</v>
      </c>
      <c r="I25" s="219" t="s">
        <v>12735</v>
      </c>
      <c r="J25" s="219" t="s">
        <v>10275</v>
      </c>
      <c r="K25" s="273"/>
      <c r="L25" s="273"/>
      <c r="M25" s="273"/>
      <c r="N25" s="273"/>
      <c r="O25" s="273" t="s">
        <v>15550</v>
      </c>
      <c r="P25" s="220"/>
      <c r="Q25" s="274"/>
      <c r="R25" s="217" t="str">
        <f ca="1">IF(ISERROR($V25),"",OFFSET('Smelter Look-up'!$C$4,$V25-4,0)&amp;"")</f>
        <v>Kyshtym Copper-Electrolytic Plant ZAO</v>
      </c>
      <c r="S25" s="225" t="str">
        <f t="shared" ca="1" si="3"/>
        <v>RU</v>
      </c>
      <c r="T25" s="225" t="str">
        <f ca="1">IF(B25="","",IF(ISERROR(MATCH($J25,SorP!$B$1:$B$6230,0)),"",INDIRECT("'SorP'!$A$"&amp;MATCH($J25,SorP!$B$1:$B$6230,0))))</f>
        <v>RU-CHE</v>
      </c>
      <c r="U25" s="241"/>
      <c r="V25" s="275">
        <f>IF(C25="",NA(),MATCH($B25&amp;$C25,'Smelter Look-up'!$J:$J,0))</f>
        <v>135</v>
      </c>
      <c r="W25" s="276"/>
      <c r="X25" s="276">
        <f t="shared" si="4"/>
        <v>0</v>
      </c>
      <c r="Y25" s="276"/>
      <c r="Z25" s="276"/>
      <c r="AB25" s="278" t="str">
        <f t="shared" si="5"/>
        <v>GoldKYSHTYM COPPER-ELECTROLYTIC PLANT ZAO</v>
      </c>
    </row>
    <row r="26" spans="1:28" s="277" customFormat="1" ht="151.19999999999999">
      <c r="A26" s="216" t="s">
        <v>2417</v>
      </c>
      <c r="B26" s="217" t="s">
        <v>1153</v>
      </c>
      <c r="C26" s="221" t="s">
        <v>2416</v>
      </c>
      <c r="D26" s="283" t="s">
        <v>2416</v>
      </c>
      <c r="E26" s="217" t="s">
        <v>1129</v>
      </c>
      <c r="F26" s="217" t="str">
        <f ca="1">IF(ISERROR($V26),"",OFFSET('Smelter Look-up'!$E$4,$V26-4,0))</f>
        <v>CID002863</v>
      </c>
      <c r="G26" s="217" t="str">
        <f ca="1">IF(C26=$X$4,"Enter smelter details",IF(ISERROR($V26),"",OFFSET('Smelter Look-up'!$F$4,$V26-4,0)))</f>
        <v>RMI</v>
      </c>
      <c r="H26" s="218" t="s">
        <v>15551</v>
      </c>
      <c r="I26" s="219" t="s">
        <v>2476</v>
      </c>
      <c r="J26" s="219" t="s">
        <v>2477</v>
      </c>
      <c r="K26" s="273"/>
      <c r="L26" s="273"/>
      <c r="M26" s="273"/>
      <c r="N26" s="273" t="s">
        <v>15552</v>
      </c>
      <c r="O26" s="273" t="s">
        <v>15553</v>
      </c>
      <c r="P26" s="220"/>
      <c r="Q26" s="274" t="s">
        <v>15513</v>
      </c>
      <c r="R26" s="217" t="str">
        <f ca="1">IF(ISERROR($V26),"",OFFSET('Smelter Look-up'!$C$4,$V26-4,0)&amp;"")</f>
        <v>Bangalore Refinery</v>
      </c>
      <c r="S26" s="225" t="str">
        <f t="shared" ca="1" si="3"/>
        <v>IN</v>
      </c>
      <c r="T26" s="225" t="str">
        <f ca="1">IF(B26="","",IF(ISERROR(MATCH($J26,SorP!$B$1:$B$6230,0)),"",INDIRECT("'SorP'!$A$"&amp;MATCH($J26,SorP!$B$1:$B$6230,0))))</f>
        <v>IN-KA</v>
      </c>
      <c r="U26" s="241"/>
      <c r="V26" s="275">
        <f>IF(C26="",NA(),MATCH($B26&amp;$C26,'Smelter Look-up'!$J:$J,0))</f>
        <v>34</v>
      </c>
      <c r="W26" s="276"/>
      <c r="X26" s="276">
        <f t="shared" si="4"/>
        <v>0</v>
      </c>
      <c r="Y26" s="276"/>
      <c r="Z26" s="276"/>
      <c r="AB26" s="278" t="str">
        <f t="shared" si="5"/>
        <v>GoldBangalore Refinery</v>
      </c>
    </row>
    <row r="27" spans="1:28" s="277" customFormat="1" ht="63">
      <c r="A27" s="216" t="s">
        <v>2437</v>
      </c>
      <c r="B27" s="217" t="s">
        <v>1153</v>
      </c>
      <c r="C27" s="221" t="s">
        <v>2436</v>
      </c>
      <c r="D27" s="283" t="s">
        <v>2436</v>
      </c>
      <c r="E27" s="217" t="s">
        <v>1138</v>
      </c>
      <c r="F27" s="217" t="str">
        <f ca="1">IF(ISERROR($V27),"",OFFSET('Smelter Look-up'!$E$4,$V27-4,0))</f>
        <v>CID002857</v>
      </c>
      <c r="G27" s="217" t="str">
        <f ca="1">IF(C27=$X$4,"Enter smelter details",IF(ISERROR($V27),"",OFFSET('Smelter Look-up'!$F$4,$V27-4,0)))</f>
        <v>RMI</v>
      </c>
      <c r="H27" s="218" t="s">
        <v>15554</v>
      </c>
      <c r="I27" s="219" t="s">
        <v>2478</v>
      </c>
      <c r="J27" s="219" t="s">
        <v>2479</v>
      </c>
      <c r="K27" s="273"/>
      <c r="L27" s="273"/>
      <c r="M27" s="273"/>
      <c r="N27" s="273"/>
      <c r="O27" s="273" t="s">
        <v>15555</v>
      </c>
      <c r="P27" s="220"/>
      <c r="Q27" s="274"/>
      <c r="R27" s="217" t="str">
        <f ca="1">IF(ISERROR($V27),"",OFFSET('Smelter Look-up'!$C$4,$V27-4,0)&amp;"")</f>
        <v>Modeltech Sdn Bhd</v>
      </c>
      <c r="S27" s="225" t="str">
        <f t="shared" ca="1" si="3"/>
        <v>MY</v>
      </c>
      <c r="T27" s="225" t="str">
        <f ca="1">IF(B27="","",IF(ISERROR(MATCH($J27,SorP!$B$1:$B$6230,0)),"",INDIRECT("'SorP'!$A$"&amp;MATCH($J27,SorP!$B$1:$B$6230,0))))</f>
        <v>MY-04</v>
      </c>
      <c r="U27" s="241"/>
      <c r="V27" s="275">
        <f>IF(C27="",NA(),MATCH($B27&amp;$C27,'Smelter Look-up'!$J:$J,0))</f>
        <v>168</v>
      </c>
      <c r="W27" s="276"/>
      <c r="X27" s="276">
        <f t="shared" si="4"/>
        <v>0</v>
      </c>
      <c r="Y27" s="276"/>
      <c r="Z27" s="276"/>
      <c r="AB27" s="278" t="str">
        <f t="shared" si="5"/>
        <v>GoldModeltech Sdn Bhd</v>
      </c>
    </row>
    <row r="28" spans="1:28" s="277" customFormat="1" ht="50.4">
      <c r="A28" s="216" t="s">
        <v>2447</v>
      </c>
      <c r="B28" s="217" t="s">
        <v>1153</v>
      </c>
      <c r="C28" s="221" t="s">
        <v>2446</v>
      </c>
      <c r="D28" s="283" t="s">
        <v>2446</v>
      </c>
      <c r="E28" s="217" t="s">
        <v>1129</v>
      </c>
      <c r="F28" s="217" t="str">
        <f ca="1">IF(ISERROR($V28),"",OFFSET('Smelter Look-up'!$E$4,$V28-4,0))</f>
        <v>CID002853</v>
      </c>
      <c r="G28" s="217" t="str">
        <f ca="1">IF(C28=$X$4,"Enter smelter details",IF(ISERROR($V28),"",OFFSET('Smelter Look-up'!$F$4,$V28-4,0)))</f>
        <v>RMI</v>
      </c>
      <c r="H28" s="218" t="s">
        <v>15556</v>
      </c>
      <c r="I28" s="219" t="s">
        <v>2448</v>
      </c>
      <c r="J28" s="219" t="s">
        <v>2449</v>
      </c>
      <c r="K28" s="273"/>
      <c r="L28" s="273"/>
      <c r="M28" s="273"/>
      <c r="N28" s="273"/>
      <c r="O28" s="273" t="s">
        <v>15557</v>
      </c>
      <c r="P28" s="220"/>
      <c r="Q28" s="274"/>
      <c r="R28" s="217" t="str">
        <f ca="1">IF(ISERROR($V28),"",OFFSET('Smelter Look-up'!$C$4,$V28-4,0)&amp;"")</f>
        <v>Sai Refinery</v>
      </c>
      <c r="S28" s="225" t="str">
        <f t="shared" ca="1" si="3"/>
        <v>IN</v>
      </c>
      <c r="T28" s="225" t="str">
        <f ca="1">IF(B28="","",IF(ISERROR(MATCH($J28,SorP!$B$1:$B$6230,0)),"",INDIRECT("'SorP'!$A$"&amp;MATCH($J28,SorP!$B$1:$B$6230,0))))</f>
        <v>IN-HP</v>
      </c>
      <c r="U28" s="241"/>
      <c r="V28" s="275">
        <f>IF(C28="",NA(),MATCH($B28&amp;$C28,'Smelter Look-up'!$J:$J,0))</f>
        <v>208</v>
      </c>
      <c r="W28" s="276"/>
      <c r="X28" s="276">
        <f t="shared" si="4"/>
        <v>0</v>
      </c>
      <c r="Y28" s="276"/>
      <c r="Z28" s="276"/>
      <c r="AB28" s="278" t="str">
        <f t="shared" si="5"/>
        <v>GoldSai Refinery</v>
      </c>
    </row>
    <row r="29" spans="1:28" s="277" customFormat="1" ht="138.6">
      <c r="A29" s="216" t="s">
        <v>2421</v>
      </c>
      <c r="B29" s="217" t="s">
        <v>1153</v>
      </c>
      <c r="C29" s="221" t="s">
        <v>2643</v>
      </c>
      <c r="D29" s="283" t="s">
        <v>2643</v>
      </c>
      <c r="E29" s="217" t="s">
        <v>1129</v>
      </c>
      <c r="F29" s="217" t="str">
        <f ca="1">IF(ISERROR($V29),"",OFFSET('Smelter Look-up'!$E$4,$V29-4,0))</f>
        <v>CID002852</v>
      </c>
      <c r="G29" s="217" t="str">
        <f ca="1">IF(C29=$X$4,"Enter smelter details",IF(ISERROR($V29),"",OFFSET('Smelter Look-up'!$F$4,$V29-4,0)))</f>
        <v>RMI</v>
      </c>
      <c r="H29" s="218" t="s">
        <v>15558</v>
      </c>
      <c r="I29" s="219" t="s">
        <v>2422</v>
      </c>
      <c r="J29" s="219" t="s">
        <v>2423</v>
      </c>
      <c r="K29" s="273"/>
      <c r="L29" s="273"/>
      <c r="M29" s="273"/>
      <c r="N29" s="273"/>
      <c r="O29" s="273" t="s">
        <v>15559</v>
      </c>
      <c r="P29" s="220"/>
      <c r="Q29" s="274"/>
      <c r="R29" s="217" t="str">
        <f ca="1">IF(ISERROR($V29),"",OFFSET('Smelter Look-up'!$C$4,$V29-4,0)&amp;"")</f>
        <v>GCC Gujrat Gold Centre Pvt. Ltd.</v>
      </c>
      <c r="S29" s="225" t="str">
        <f t="shared" ca="1" si="3"/>
        <v>IN</v>
      </c>
      <c r="T29" s="225" t="str">
        <f ca="1">IF(B29="","",IF(ISERROR(MATCH($J29,SorP!$B$1:$B$6230,0)),"",INDIRECT("'SorP'!$A$"&amp;MATCH($J29,SorP!$B$1:$B$6230,0))))</f>
        <v>IN-GJ</v>
      </c>
      <c r="U29" s="241"/>
      <c r="V29" s="275">
        <f>IF(C29="",NA(),MATCH($B29&amp;$C29,'Smelter Look-up'!$J:$J,0))</f>
        <v>79</v>
      </c>
      <c r="W29" s="276"/>
      <c r="X29" s="276">
        <f t="shared" si="4"/>
        <v>0</v>
      </c>
      <c r="Y29" s="276"/>
      <c r="Z29" s="276"/>
      <c r="AB29" s="278" t="str">
        <f t="shared" si="5"/>
        <v>GoldGCC Gujrat Gold Centre Pvt. Ltd.</v>
      </c>
    </row>
    <row r="30" spans="1:28" s="277" customFormat="1" ht="126">
      <c r="A30" s="216" t="s">
        <v>2413</v>
      </c>
      <c r="B30" s="217" t="s">
        <v>1153</v>
      </c>
      <c r="C30" s="221" t="s">
        <v>2412</v>
      </c>
      <c r="D30" s="283" t="s">
        <v>2412</v>
      </c>
      <c r="E30" s="217" t="s">
        <v>916</v>
      </c>
      <c r="F30" s="217" t="str">
        <f ca="1">IF(ISERROR($V30),"",OFFSET('Smelter Look-up'!$E$4,$V30-4,0))</f>
        <v>CID002850</v>
      </c>
      <c r="G30" s="217" t="str">
        <f ca="1">IF(C30=$X$4,"Enter smelter details",IF(ISERROR($V30),"",OFFSET('Smelter Look-up'!$F$4,$V30-4,0)))</f>
        <v>RMI</v>
      </c>
      <c r="H30" s="218" t="s">
        <v>15560</v>
      </c>
      <c r="I30" s="219" t="s">
        <v>2414</v>
      </c>
      <c r="J30" s="219" t="s">
        <v>1676</v>
      </c>
      <c r="K30" s="273"/>
      <c r="L30" s="273"/>
      <c r="M30" s="273"/>
      <c r="N30" s="273" t="s">
        <v>15561</v>
      </c>
      <c r="O30" s="273" t="s">
        <v>15562</v>
      </c>
      <c r="P30" s="220"/>
      <c r="Q30" s="274" t="s">
        <v>15513</v>
      </c>
      <c r="R30" s="217" t="str">
        <f ca="1">IF(ISERROR($V30),"",OFFSET('Smelter Look-up'!$C$4,$V30-4,0)&amp;"")</f>
        <v>AU Traders and Refiners</v>
      </c>
      <c r="S30" s="225" t="str">
        <f t="shared" ca="1" si="3"/>
        <v>ZA</v>
      </c>
      <c r="T30" s="225" t="str">
        <f ca="1">IF(B30="","",IF(ISERROR(MATCH($J30,SorP!$B$1:$B$6230,0)),"",INDIRECT("'SorP'!$A$"&amp;MATCH($J30,SorP!$B$1:$B$6230,0))))</f>
        <v>ZA-GT</v>
      </c>
      <c r="U30" s="241"/>
      <c r="V30" s="275">
        <f>IF(C30="",NA(),MATCH($B30&amp;$C30,'Smelter Look-up'!$J:$J,0))</f>
        <v>30</v>
      </c>
      <c r="W30" s="276"/>
      <c r="X30" s="276">
        <f t="shared" si="4"/>
        <v>0</v>
      </c>
      <c r="Y30" s="276"/>
      <c r="Z30" s="276"/>
      <c r="AB30" s="278" t="str">
        <f t="shared" si="5"/>
        <v>GoldAU Traders and Refiners</v>
      </c>
    </row>
    <row r="31" spans="1:28" s="277" customFormat="1" ht="163.80000000000001">
      <c r="A31" s="216" t="s">
        <v>2316</v>
      </c>
      <c r="B31" s="217" t="s">
        <v>1153</v>
      </c>
      <c r="C31" s="221" t="s">
        <v>12762</v>
      </c>
      <c r="D31" s="283" t="s">
        <v>12762</v>
      </c>
      <c r="E31" s="217" t="s">
        <v>1117</v>
      </c>
      <c r="F31" s="217" t="str">
        <f ca="1">IF(ISERROR($V31),"",OFFSET('Smelter Look-up'!$E$4,$V31-4,0))</f>
        <v>CID002779</v>
      </c>
      <c r="G31" s="217" t="str">
        <f ca="1">IF(C31=$X$4,"Enter smelter details",IF(ISERROR($V31),"",OFFSET('Smelter Look-up'!$F$4,$V31-4,0)))</f>
        <v>RMI</v>
      </c>
      <c r="H31" s="218" t="s">
        <v>15563</v>
      </c>
      <c r="I31" s="219" t="s">
        <v>2317</v>
      </c>
      <c r="J31" s="219" t="s">
        <v>2956</v>
      </c>
      <c r="K31" s="273"/>
      <c r="L31" s="273"/>
      <c r="M31" s="273"/>
      <c r="N31" s="273" t="s">
        <v>15564</v>
      </c>
      <c r="O31" s="273" t="s">
        <v>15565</v>
      </c>
      <c r="P31" s="220"/>
      <c r="Q31" s="274" t="s">
        <v>15513</v>
      </c>
      <c r="R31" s="217" t="str">
        <f ca="1">IF(ISERROR($V31),"",OFFSET('Smelter Look-up'!$C$4,$V31-4,0)&amp;"")</f>
        <v>Ogussa Osterreichische Gold- und Silber-Scheideanstalt GmbH</v>
      </c>
      <c r="S31" s="225" t="str">
        <f t="shared" ca="1" si="3"/>
        <v>AT</v>
      </c>
      <c r="T31" s="225" t="str">
        <f ca="1">IF(B31="","",IF(ISERROR(MATCH($J31,SorP!$B$1:$B$6230,0)),"",INDIRECT("'SorP'!$A$"&amp;MATCH($J31,SorP!$B$1:$B$6230,0))))</f>
        <v>AT-9</v>
      </c>
      <c r="U31" s="241"/>
      <c r="V31" s="275">
        <f>IF(C31="",NA(),MATCH($B31&amp;$C31,'Smelter Look-up'!$J:$J,0))</f>
        <v>178</v>
      </c>
      <c r="W31" s="276"/>
      <c r="X31" s="276">
        <f t="shared" si="4"/>
        <v>0</v>
      </c>
      <c r="Y31" s="276"/>
      <c r="Z31" s="276"/>
      <c r="AB31" s="278" t="str">
        <f t="shared" si="5"/>
        <v>GoldOgussa Osterreichische Gold- und Silber-Scheideanstalt GmbH</v>
      </c>
    </row>
    <row r="32" spans="1:28" s="277" customFormat="1" ht="126">
      <c r="A32" s="216" t="s">
        <v>2315</v>
      </c>
      <c r="B32" s="217" t="s">
        <v>1153</v>
      </c>
      <c r="C32" s="221" t="s">
        <v>2312</v>
      </c>
      <c r="D32" s="283" t="s">
        <v>2312</v>
      </c>
      <c r="E32" s="217" t="s">
        <v>1124</v>
      </c>
      <c r="F32" s="217" t="str">
        <f ca="1">IF(ISERROR($V32),"",OFFSET('Smelter Look-up'!$E$4,$V32-4,0))</f>
        <v>CID002778</v>
      </c>
      <c r="G32" s="217" t="str">
        <f ca="1">IF(C32=$X$4,"Enter smelter details",IF(ISERROR($V32),"",OFFSET('Smelter Look-up'!$F$4,$V32-4,0)))</f>
        <v>RMI</v>
      </c>
      <c r="H32" s="218" t="s">
        <v>15566</v>
      </c>
      <c r="I32" s="219" t="s">
        <v>15567</v>
      </c>
      <c r="J32" s="219" t="s">
        <v>15568</v>
      </c>
      <c r="K32" s="273"/>
      <c r="L32" s="273"/>
      <c r="M32" s="273"/>
      <c r="N32" s="273" t="s">
        <v>15569</v>
      </c>
      <c r="O32" s="273" t="s">
        <v>15570</v>
      </c>
      <c r="P32" s="220"/>
      <c r="Q32" s="274" t="s">
        <v>15513</v>
      </c>
      <c r="R32" s="217" t="str">
        <f ca="1">IF(ISERROR($V32),"",OFFSET('Smelter Look-up'!$C$4,$V32-4,0)&amp;"")</f>
        <v>WIELAND Edelmetalle GmbH</v>
      </c>
      <c r="S32" s="225" t="str">
        <f t="shared" ca="1" si="3"/>
        <v>DE</v>
      </c>
      <c r="T32" s="225" t="str">
        <f ca="1">IF(B32="","",IF(ISERROR(MATCH($J32,SorP!$B$1:$B$6230,0)),"",INDIRECT("'SorP'!$A$"&amp;MATCH($J32,SorP!$B$1:$B$6230,0))))</f>
        <v/>
      </c>
      <c r="U32" s="241"/>
      <c r="V32" s="275">
        <f>IF(C32="",NA(),MATCH($B32&amp;$C32,'Smelter Look-up'!$J:$J,0))</f>
        <v>271</v>
      </c>
      <c r="W32" s="276"/>
      <c r="X32" s="276">
        <f t="shared" si="4"/>
        <v>0</v>
      </c>
      <c r="Y32" s="276"/>
      <c r="Z32" s="276"/>
      <c r="AB32" s="278" t="str">
        <f t="shared" si="5"/>
        <v>GoldWIELAND Edelmetalle GmbH</v>
      </c>
    </row>
    <row r="33" spans="1:28" s="277" customFormat="1" ht="226.8">
      <c r="A33" s="216" t="s">
        <v>2314</v>
      </c>
      <c r="B33" s="217" t="s">
        <v>1153</v>
      </c>
      <c r="C33" s="221" t="s">
        <v>2311</v>
      </c>
      <c r="D33" s="283" t="s">
        <v>2311</v>
      </c>
      <c r="E33" s="217" t="s">
        <v>1124</v>
      </c>
      <c r="F33" s="217" t="str">
        <f ca="1">IF(ISERROR($V33),"",OFFSET('Smelter Look-up'!$E$4,$V33-4,0))</f>
        <v>CID002777</v>
      </c>
      <c r="G33" s="217" t="str">
        <f ca="1">IF(C33=$X$4,"Enter smelter details",IF(ISERROR($V33),"",OFFSET('Smelter Look-up'!$F$4,$V33-4,0)))</f>
        <v>RMI</v>
      </c>
      <c r="H33" s="218" t="s">
        <v>15571</v>
      </c>
      <c r="I33" s="219" t="s">
        <v>15572</v>
      </c>
      <c r="J33" s="219" t="s">
        <v>4386</v>
      </c>
      <c r="K33" s="273"/>
      <c r="L33" s="273"/>
      <c r="M33" s="273"/>
      <c r="N33" s="273" t="s">
        <v>15573</v>
      </c>
      <c r="O33" s="273" t="s">
        <v>15574</v>
      </c>
      <c r="P33" s="220"/>
      <c r="Q33" s="274" t="s">
        <v>15513</v>
      </c>
      <c r="R33" s="217" t="str">
        <f ca="1">IF(ISERROR($V33),"",OFFSET('Smelter Look-up'!$C$4,$V33-4,0)&amp;"")</f>
        <v>SAXONIA Edelmetalle GmbH</v>
      </c>
      <c r="S33" s="225" t="str">
        <f t="shared" ca="1" si="3"/>
        <v>DE</v>
      </c>
      <c r="T33" s="225" t="str">
        <f ca="1">IF(B33="","",IF(ISERROR(MATCH($J33,SorP!$B$1:$B$6230,0)),"",INDIRECT("'SorP'!$A$"&amp;MATCH($J33,SorP!$B$1:$B$6230,0))))</f>
        <v>DE-SN</v>
      </c>
      <c r="U33" s="241"/>
      <c r="V33" s="275">
        <f>IF(C33="",NA(),MATCH($B33&amp;$C33,'Smelter Look-up'!$J:$J,0))</f>
        <v>212</v>
      </c>
      <c r="W33" s="276"/>
      <c r="X33" s="276">
        <f t="shared" si="4"/>
        <v>0</v>
      </c>
      <c r="Y33" s="276"/>
      <c r="Z33" s="276"/>
      <c r="AB33" s="278" t="str">
        <f t="shared" si="5"/>
        <v>GoldSAXONIA Edelmetalle GmbH</v>
      </c>
    </row>
    <row r="34" spans="1:28" s="277" customFormat="1" ht="176.4">
      <c r="A34" s="216" t="s">
        <v>2650</v>
      </c>
      <c r="B34" s="217" t="s">
        <v>1153</v>
      </c>
      <c r="C34" s="221" t="s">
        <v>2649</v>
      </c>
      <c r="D34" s="283" t="s">
        <v>2649</v>
      </c>
      <c r="E34" s="217" t="s">
        <v>1130</v>
      </c>
      <c r="F34" s="217" t="str">
        <f ca="1">IF(ISERROR($V34),"",OFFSET('Smelter Look-up'!$E$4,$V34-4,0))</f>
        <v>CID002765</v>
      </c>
      <c r="G34" s="217" t="str">
        <f ca="1">IF(C34=$X$4,"Enter smelter details",IF(ISERROR($V34),"",OFFSET('Smelter Look-up'!$F$4,$V34-4,0)))</f>
        <v>RMI</v>
      </c>
      <c r="H34" s="218" t="s">
        <v>15534</v>
      </c>
      <c r="I34" s="219" t="s">
        <v>1599</v>
      </c>
      <c r="J34" s="219" t="s">
        <v>6691</v>
      </c>
      <c r="K34" s="273"/>
      <c r="L34" s="273"/>
      <c r="M34" s="273"/>
      <c r="N34" s="273" t="s">
        <v>15575</v>
      </c>
      <c r="O34" s="273" t="s">
        <v>15576</v>
      </c>
      <c r="P34" s="220"/>
      <c r="Q34" s="274" t="s">
        <v>15513</v>
      </c>
      <c r="R34" s="217" t="str">
        <f ca="1">IF(ISERROR($V34),"",OFFSET('Smelter Look-up'!$C$4,$V34-4,0)&amp;"")</f>
        <v>Italpreziosi</v>
      </c>
      <c r="S34" s="225" t="str">
        <f t="shared" ca="1" si="3"/>
        <v>IT</v>
      </c>
      <c r="T34" s="225" t="str">
        <f ca="1">IF(B34="","",IF(ISERROR(MATCH($J34,SorP!$B$1:$B$6230,0)),"",INDIRECT("'SorP'!$A$"&amp;MATCH($J34,SorP!$B$1:$B$6230,0))))</f>
        <v>IT-52</v>
      </c>
      <c r="U34" s="241"/>
      <c r="V34" s="275">
        <f>IF(C34="",NA(),MATCH($B34&amp;$C34,'Smelter Look-up'!$J:$J,0))</f>
        <v>109</v>
      </c>
      <c r="W34" s="276"/>
      <c r="X34" s="276">
        <f t="shared" si="4"/>
        <v>0</v>
      </c>
      <c r="Y34" s="276"/>
      <c r="Z34" s="276"/>
      <c r="AB34" s="278" t="str">
        <f t="shared" si="5"/>
        <v>GoldItalpreziosi</v>
      </c>
    </row>
    <row r="35" spans="1:28" s="277" customFormat="1" ht="100.8">
      <c r="A35" s="216" t="s">
        <v>14130</v>
      </c>
      <c r="B35" s="217" t="s">
        <v>1153</v>
      </c>
      <c r="C35" s="221" t="s">
        <v>14129</v>
      </c>
      <c r="D35" s="283" t="s">
        <v>14129</v>
      </c>
      <c r="E35" s="217" t="s">
        <v>1130</v>
      </c>
      <c r="F35" s="217" t="str">
        <f ca="1">IF(ISERROR($V35),"",OFFSET('Smelter Look-up'!$E$4,$V35-4,0))</f>
        <v>CID002763</v>
      </c>
      <c r="G35" s="217" t="str">
        <f ca="1">IF(C35=$X$4,"Enter smelter details",IF(ISERROR($V35),"",OFFSET('Smelter Look-up'!$F$4,$V35-4,0)))</f>
        <v>RMI</v>
      </c>
      <c r="H35" s="218" t="s">
        <v>15577</v>
      </c>
      <c r="I35" s="219" t="s">
        <v>14179</v>
      </c>
      <c r="J35" s="219" t="s">
        <v>6635</v>
      </c>
      <c r="K35" s="273"/>
      <c r="L35" s="273"/>
      <c r="M35" s="273"/>
      <c r="N35" s="273" t="s">
        <v>15578</v>
      </c>
      <c r="O35" s="273" t="s">
        <v>15579</v>
      </c>
      <c r="P35" s="220"/>
      <c r="Q35" s="274" t="s">
        <v>15513</v>
      </c>
      <c r="R35" s="217" t="str">
        <f ca="1">IF(ISERROR($V35),"",OFFSET('Smelter Look-up'!$C$4,$V35-4,0)&amp;"")</f>
        <v>8853 S.p.A.</v>
      </c>
      <c r="S35" s="225" t="str">
        <f t="shared" ca="1" si="3"/>
        <v>IT</v>
      </c>
      <c r="T35" s="225" t="str">
        <f ca="1">IF(B35="","",IF(ISERROR(MATCH($J35,SorP!$B$1:$B$6230,0)),"",INDIRECT("'SorP'!$A$"&amp;MATCH($J35,SorP!$B$1:$B$6230,0))))</f>
        <v>IT-25</v>
      </c>
      <c r="U35" s="241"/>
      <c r="V35" s="275">
        <f>IF(C35="",NA(),MATCH($B35&amp;$C35,'Smelter Look-up'!$J:$J,0))</f>
        <v>5</v>
      </c>
      <c r="W35" s="276"/>
      <c r="X35" s="276">
        <f t="shared" si="4"/>
        <v>0</v>
      </c>
      <c r="Y35" s="276"/>
      <c r="Z35" s="276"/>
      <c r="AB35" s="278" t="str">
        <f t="shared" si="5"/>
        <v>Gold8853 S.p.A.</v>
      </c>
    </row>
    <row r="36" spans="1:28" s="277" customFormat="1" ht="226.8">
      <c r="A36" s="216" t="s">
        <v>2584</v>
      </c>
      <c r="B36" s="217" t="s">
        <v>1153</v>
      </c>
      <c r="C36" s="221" t="s">
        <v>2583</v>
      </c>
      <c r="D36" s="283" t="s">
        <v>2583</v>
      </c>
      <c r="E36" s="217" t="s">
        <v>1114</v>
      </c>
      <c r="F36" s="217" t="str">
        <f ca="1">IF(ISERROR($V36),"",OFFSET('Smelter Look-up'!$E$4,$V36-4,0))</f>
        <v>CID002762</v>
      </c>
      <c r="G36" s="217" t="str">
        <f ca="1">IF(C36=$X$4,"Enter smelter details",IF(ISERROR($V36),"",OFFSET('Smelter Look-up'!$F$4,$V36-4,0)))</f>
        <v>RMI</v>
      </c>
      <c r="H36" s="218" t="s">
        <v>15580</v>
      </c>
      <c r="I36" s="219" t="s">
        <v>15580</v>
      </c>
      <c r="J36" s="219" t="s">
        <v>15580</v>
      </c>
      <c r="K36" s="273"/>
      <c r="L36" s="273"/>
      <c r="M36" s="273"/>
      <c r="N36" s="273" t="s">
        <v>15581</v>
      </c>
      <c r="O36" s="273" t="s">
        <v>15582</v>
      </c>
      <c r="P36" s="220"/>
      <c r="Q36" s="274" t="s">
        <v>15513</v>
      </c>
      <c r="R36" s="217" t="str">
        <f ca="1">IF(ISERROR($V36),"",OFFSET('Smelter Look-up'!$C$4,$V36-4,0)&amp;"")</f>
        <v>L'Orfebre S.A.</v>
      </c>
      <c r="S36" s="225" t="str">
        <f t="shared" ca="1" si="3"/>
        <v>AD</v>
      </c>
      <c r="T36" s="225" t="str">
        <f ca="1">IF(B36="","",IF(ISERROR(MATCH($J36,SorP!$B$1:$B$6230,0)),"",INDIRECT("'SorP'!$A$"&amp;MATCH($J36,SorP!$B$1:$B$6230,0))))</f>
        <v/>
      </c>
      <c r="U36" s="241"/>
      <c r="V36" s="275">
        <f>IF(C36="",NA(),MATCH($B36&amp;$C36,'Smelter Look-up'!$J:$J,0))</f>
        <v>142</v>
      </c>
      <c r="W36" s="276"/>
      <c r="X36" s="276">
        <f t="shared" si="4"/>
        <v>0</v>
      </c>
      <c r="Y36" s="276"/>
      <c r="Z36" s="276"/>
      <c r="AB36" s="278" t="str">
        <f t="shared" si="5"/>
        <v>GoldL'Orfebre S.A.</v>
      </c>
    </row>
    <row r="37" spans="1:28" s="277" customFormat="1" ht="138.6">
      <c r="A37" s="216" t="s">
        <v>2371</v>
      </c>
      <c r="B37" s="217" t="s">
        <v>1153</v>
      </c>
      <c r="C37" s="221" t="s">
        <v>2370</v>
      </c>
      <c r="D37" s="283" t="s">
        <v>2370</v>
      </c>
      <c r="E37" s="217" t="s">
        <v>1127</v>
      </c>
      <c r="F37" s="217" t="str">
        <f ca="1">IF(ISERROR($V37),"",OFFSET('Smelter Look-up'!$E$4,$V37-4,0))</f>
        <v>CID002761</v>
      </c>
      <c r="G37" s="217" t="str">
        <f ca="1">IF(C37=$X$4,"Enter smelter details",IF(ISERROR($V37),"",OFFSET('Smelter Look-up'!$F$4,$V37-4,0)))</f>
        <v>RMI</v>
      </c>
      <c r="H37" s="218" t="s">
        <v>15583</v>
      </c>
      <c r="I37" s="219" t="s">
        <v>2372</v>
      </c>
      <c r="J37" s="219" t="s">
        <v>5047</v>
      </c>
      <c r="K37" s="273"/>
      <c r="L37" s="273"/>
      <c r="M37" s="273"/>
      <c r="N37" s="273" t="s">
        <v>15584</v>
      </c>
      <c r="O37" s="273" t="s">
        <v>15585</v>
      </c>
      <c r="P37" s="220"/>
      <c r="Q37" s="274" t="s">
        <v>15513</v>
      </c>
      <c r="R37" s="217" t="str">
        <f ca="1">IF(ISERROR($V37),"",OFFSET('Smelter Look-up'!$C$4,$V37-4,0)&amp;"")</f>
        <v>SAAMP</v>
      </c>
      <c r="S37" s="225" t="str">
        <f t="shared" ca="1" si="3"/>
        <v>FR</v>
      </c>
      <c r="T37" s="225" t="str">
        <f ca="1">IF(B37="","",IF(ISERROR(MATCH($J37,SorP!$B$1:$B$6230,0)),"",INDIRECT("'SorP'!$A$"&amp;MATCH($J37,SorP!$B$1:$B$6230,0))))</f>
        <v>FR-IDF</v>
      </c>
      <c r="U37" s="241"/>
      <c r="V37" s="275">
        <f>IF(C37="",NA(),MATCH($B37&amp;$C37,'Smelter Look-up'!$J:$J,0))</f>
        <v>203</v>
      </c>
      <c r="W37" s="276"/>
      <c r="X37" s="276">
        <f t="shared" si="4"/>
        <v>0</v>
      </c>
      <c r="Y37" s="276"/>
      <c r="Z37" s="276"/>
      <c r="AB37" s="278" t="str">
        <f t="shared" si="5"/>
        <v>GoldSAAMP</v>
      </c>
    </row>
    <row r="38" spans="1:28" s="277" customFormat="1" ht="63">
      <c r="A38" s="216" t="s">
        <v>2578</v>
      </c>
      <c r="B38" s="217" t="s">
        <v>1153</v>
      </c>
      <c r="C38" s="221" t="s">
        <v>2577</v>
      </c>
      <c r="D38" s="283" t="s">
        <v>2577</v>
      </c>
      <c r="E38" s="217" t="s">
        <v>2576</v>
      </c>
      <c r="F38" s="217" t="str">
        <f ca="1">IF(ISERROR($V38),"",OFFSET('Smelter Look-up'!$E$4,$V38-4,0))</f>
        <v>CID002708</v>
      </c>
      <c r="G38" s="217" t="str">
        <f ca="1">IF(C38=$X$4,"Enter smelter details",IF(ISERROR($V38),"",OFFSET('Smelter Look-up'!$F$4,$V38-4,0)))</f>
        <v>RMI</v>
      </c>
      <c r="H38" s="218" t="s">
        <v>15586</v>
      </c>
      <c r="I38" s="219" t="s">
        <v>2579</v>
      </c>
      <c r="J38" s="219" t="s">
        <v>1774</v>
      </c>
      <c r="K38" s="273"/>
      <c r="L38" s="273"/>
      <c r="M38" s="273"/>
      <c r="N38" s="273"/>
      <c r="O38" s="273" t="s">
        <v>15587</v>
      </c>
      <c r="P38" s="220"/>
      <c r="Q38" s="274"/>
      <c r="R38" s="217" t="str">
        <f ca="1">IF(ISERROR($V38),"",OFFSET('Smelter Look-up'!$C$4,$V38-4,0)&amp;"")</f>
        <v>Abington Reldan Metals, LLC</v>
      </c>
      <c r="S38" s="225" t="str">
        <f t="shared" ref="S38:S68" ca="1" si="6">IF(B38="","",IF(ISERROR(MATCH($E38,CL,0)),"Unknown",INDIRECT("'C'!$A$"&amp;MATCH($E38,CL,0)+1)))</f>
        <v>US</v>
      </c>
      <c r="T38" s="225" t="str">
        <f ca="1">IF(B38="","",IF(ISERROR(MATCH($J38,SorP!$B$1:$B$6230,0)),"",INDIRECT("'SorP'!$A$"&amp;MATCH($J38,SorP!$B$1:$B$6230,0))))</f>
        <v>US-PA</v>
      </c>
      <c r="U38" s="241"/>
      <c r="V38" s="275">
        <f>IF(C38="",NA(),MATCH($B38&amp;$C38,'Smelter Look-up'!$J:$J,0))</f>
        <v>6</v>
      </c>
      <c r="W38" s="276"/>
      <c r="X38" s="276">
        <f t="shared" ref="X38:X68" si="7">IF(AND(C38="Smelter not listed",OR(LEN(D38)=0,LEN(E38)=0)),1,0)</f>
        <v>0</v>
      </c>
      <c r="Y38" s="276"/>
      <c r="Z38" s="276"/>
      <c r="AB38" s="278" t="str">
        <f t="shared" ref="AB38:AB68" si="8">B38&amp;C38</f>
        <v>GoldAbington Reldan Metals, LLC</v>
      </c>
    </row>
    <row r="39" spans="1:28" s="277" customFormat="1" ht="63">
      <c r="A39" s="216" t="s">
        <v>2455</v>
      </c>
      <c r="B39" s="217" t="s">
        <v>1153</v>
      </c>
      <c r="C39" s="221" t="s">
        <v>2454</v>
      </c>
      <c r="D39" s="283" t="s">
        <v>2454</v>
      </c>
      <c r="E39" s="217" t="s">
        <v>1132</v>
      </c>
      <c r="F39" s="217" t="str">
        <f ca="1">IF(ISERROR($V39),"",OFFSET('Smelter Look-up'!$E$4,$V39-4,0))</f>
        <v>CID002615</v>
      </c>
      <c r="G39" s="217" t="str">
        <f ca="1">IF(C39=$X$4,"Enter smelter details",IF(ISERROR($V39),"",OFFSET('Smelter Look-up'!$F$4,$V39-4,0)))</f>
        <v>RMI</v>
      </c>
      <c r="H39" s="218" t="s">
        <v>15588</v>
      </c>
      <c r="I39" s="219" t="s">
        <v>2456</v>
      </c>
      <c r="J39" s="219" t="s">
        <v>2457</v>
      </c>
      <c r="K39" s="273"/>
      <c r="L39" s="273"/>
      <c r="M39" s="273"/>
      <c r="N39" s="273" t="s">
        <v>15538</v>
      </c>
      <c r="O39" s="273" t="s">
        <v>15589</v>
      </c>
      <c r="P39" s="220"/>
      <c r="Q39" s="274" t="s">
        <v>15513</v>
      </c>
      <c r="R39" s="217" t="str">
        <f ca="1">IF(ISERROR($V39),"",OFFSET('Smelter Look-up'!$C$4,$V39-4,0)&amp;"")</f>
        <v>TOO Tau-Ken-Altyn</v>
      </c>
      <c r="S39" s="225" t="str">
        <f t="shared" ca="1" si="6"/>
        <v>KZ</v>
      </c>
      <c r="T39" s="225" t="str">
        <f ca="1">IF(B39="","",IF(ISERROR(MATCH($J39,SorP!$B$1:$B$6230,0)),"",INDIRECT("'SorP'!$A$"&amp;MATCH($J39,SorP!$B$1:$B$6230,0))))</f>
        <v>KZ-ALA</v>
      </c>
      <c r="U39" s="241"/>
      <c r="V39" s="275">
        <f>IF(C39="",NA(),MATCH($B39&amp;$C39,'Smelter Look-up'!$J:$J,0))</f>
        <v>261</v>
      </c>
      <c r="W39" s="276"/>
      <c r="X39" s="276">
        <f t="shared" si="7"/>
        <v>0</v>
      </c>
      <c r="Y39" s="276"/>
      <c r="Z39" s="276"/>
      <c r="AB39" s="278" t="str">
        <f t="shared" si="8"/>
        <v>GoldTOO Tau-Ken-Altyn</v>
      </c>
    </row>
    <row r="40" spans="1:28" s="277" customFormat="1" ht="201.6">
      <c r="A40" s="216" t="s">
        <v>2656</v>
      </c>
      <c r="B40" s="217" t="s">
        <v>1153</v>
      </c>
      <c r="C40" s="221" t="s">
        <v>2655</v>
      </c>
      <c r="D40" s="283" t="s">
        <v>2655</v>
      </c>
      <c r="E40" s="217" t="s">
        <v>1119</v>
      </c>
      <c r="F40" s="217" t="str">
        <f ca="1">IF(ISERROR($V40),"",OFFSET('Smelter Look-up'!$E$4,$V40-4,0))</f>
        <v>CID002606</v>
      </c>
      <c r="G40" s="217" t="str">
        <f ca="1">IF(C40=$X$4,"Enter smelter details",IF(ISERROR($V40),"",OFFSET('Smelter Look-up'!$F$4,$V40-4,0)))</f>
        <v>RMI</v>
      </c>
      <c r="H40" s="218" t="s">
        <v>15590</v>
      </c>
      <c r="I40" s="219" t="s">
        <v>15591</v>
      </c>
      <c r="J40" s="219" t="s">
        <v>1708</v>
      </c>
      <c r="K40" s="273"/>
      <c r="L40" s="273"/>
      <c r="M40" s="273"/>
      <c r="N40" s="273" t="s">
        <v>15592</v>
      </c>
      <c r="O40" s="273" t="s">
        <v>15593</v>
      </c>
      <c r="P40" s="220"/>
      <c r="Q40" s="274" t="s">
        <v>15513</v>
      </c>
      <c r="R40" s="217" t="str">
        <f ca="1">IF(ISERROR($V40),"",OFFSET('Smelter Look-up'!$C$4,$V40-4,0)&amp;"")</f>
        <v>Marsam Metals</v>
      </c>
      <c r="S40" s="225" t="str">
        <f t="shared" ca="1" si="6"/>
        <v>BR</v>
      </c>
      <c r="T40" s="225" t="str">
        <f ca="1">IF(B40="","",IF(ISERROR(MATCH($J40,SorP!$B$1:$B$6230,0)),"",INDIRECT("'SorP'!$A$"&amp;MATCH($J40,SorP!$B$1:$B$6230,0))))</f>
        <v>BR-SP</v>
      </c>
      <c r="U40" s="241"/>
      <c r="V40" s="275">
        <f>IF(C40="",NA(),MATCH($B40&amp;$C40,'Smelter Look-up'!$J:$J,0))</f>
        <v>148</v>
      </c>
      <c r="W40" s="276"/>
      <c r="X40" s="276">
        <f t="shared" si="7"/>
        <v>0</v>
      </c>
      <c r="Y40" s="276"/>
      <c r="Z40" s="276"/>
      <c r="AB40" s="278" t="str">
        <f t="shared" si="8"/>
        <v>GoldMarsam Metals</v>
      </c>
    </row>
    <row r="41" spans="1:28" s="277" customFormat="1" ht="113.4">
      <c r="A41" s="216" t="s">
        <v>1749</v>
      </c>
      <c r="B41" s="217" t="s">
        <v>1153</v>
      </c>
      <c r="C41" s="221" t="s">
        <v>2428</v>
      </c>
      <c r="D41" s="283" t="s">
        <v>2428</v>
      </c>
      <c r="E41" s="217" t="s">
        <v>1134</v>
      </c>
      <c r="F41" s="217" t="str">
        <f ca="1">IF(ISERROR($V41),"",OFFSET('Smelter Look-up'!$E$4,$V41-4,0))</f>
        <v>CID002605</v>
      </c>
      <c r="G41" s="217" t="str">
        <f ca="1">IF(C41=$X$4,"Enter smelter details",IF(ISERROR($V41),"",OFFSET('Smelter Look-up'!$F$4,$V41-4,0)))</f>
        <v>RMI</v>
      </c>
      <c r="H41" s="218" t="s">
        <v>15594</v>
      </c>
      <c r="I41" s="219" t="s">
        <v>1750</v>
      </c>
      <c r="J41" s="219" t="s">
        <v>13208</v>
      </c>
      <c r="K41" s="273"/>
      <c r="L41" s="273"/>
      <c r="M41" s="273"/>
      <c r="N41" s="273" t="s">
        <v>15538</v>
      </c>
      <c r="O41" s="273" t="s">
        <v>15595</v>
      </c>
      <c r="P41" s="220"/>
      <c r="Q41" s="274" t="s">
        <v>15513</v>
      </c>
      <c r="R41" s="217" t="str">
        <f ca="1">IF(ISERROR($V41),"",OFFSET('Smelter Look-up'!$C$4,$V41-4,0)&amp;"")</f>
        <v>Korea Zinc Co., Ltd.</v>
      </c>
      <c r="S41" s="225" t="str">
        <f t="shared" ca="1" si="6"/>
        <v>KR</v>
      </c>
      <c r="T41" s="225" t="str">
        <f ca="1">IF(B41="","",IF(ISERROR(MATCH($J41,SorP!$B$1:$B$6230,0)),"",INDIRECT("'SorP'!$A$"&amp;MATCH($J41,SorP!$B$1:$B$6230,0))))</f>
        <v>KR-11</v>
      </c>
      <c r="U41" s="241"/>
      <c r="V41" s="275">
        <f>IF(C41="",NA(),MATCH($B41&amp;$C41,'Smelter Look-up'!$J:$J,0))</f>
        <v>131</v>
      </c>
      <c r="W41" s="276"/>
      <c r="X41" s="276">
        <f t="shared" si="7"/>
        <v>0</v>
      </c>
      <c r="Y41" s="276"/>
      <c r="Z41" s="276"/>
      <c r="AB41" s="278" t="str">
        <f t="shared" si="8"/>
        <v>GoldKorea Zinc Co., Ltd.</v>
      </c>
    </row>
    <row r="42" spans="1:28" s="277" customFormat="1" ht="50.4">
      <c r="A42" s="216" t="s">
        <v>14238</v>
      </c>
      <c r="B42" s="217" t="s">
        <v>1153</v>
      </c>
      <c r="C42" s="221" t="s">
        <v>14219</v>
      </c>
      <c r="D42" s="283" t="s">
        <v>14219</v>
      </c>
      <c r="E42" s="217" t="s">
        <v>1129</v>
      </c>
      <c r="F42" s="217" t="str">
        <f ca="1">IF(ISERROR($V42),"",OFFSET('Smelter Look-up'!$E$4,$V42-4,0))</f>
        <v>CID002588</v>
      </c>
      <c r="G42" s="217" t="str">
        <f ca="1">IF(C42=$X$4,"Enter smelter details",IF(ISERROR($V42),"",OFFSET('Smelter Look-up'!$F$4,$V42-4,0)))</f>
        <v>RMI</v>
      </c>
      <c r="H42" s="218" t="s">
        <v>15508</v>
      </c>
      <c r="I42" s="219" t="s">
        <v>14247</v>
      </c>
      <c r="J42" s="219" t="s">
        <v>1759</v>
      </c>
      <c r="K42" s="273"/>
      <c r="L42" s="273"/>
      <c r="M42" s="273"/>
      <c r="N42" s="273"/>
      <c r="O42" s="273" t="s">
        <v>15596</v>
      </c>
      <c r="P42" s="220"/>
      <c r="Q42" s="274"/>
      <c r="R42" s="217" t="str">
        <f ca="1">IF(ISERROR($V42),"",OFFSET('Smelter Look-up'!$C$4,$V42-4,0)&amp;"")</f>
        <v>Shirpur Gold Refinery Ltd.</v>
      </c>
      <c r="S42" s="225" t="str">
        <f t="shared" ca="1" si="6"/>
        <v>IN</v>
      </c>
      <c r="T42" s="225" t="str">
        <f ca="1">IF(B42="","",IF(ISERROR(MATCH($J42,SorP!$B$1:$B$6230,0)),"",INDIRECT("'SorP'!$A$"&amp;MATCH($J42,SorP!$B$1:$B$6230,0))))</f>
        <v>IN-MH</v>
      </c>
      <c r="U42" s="241"/>
      <c r="V42" s="275">
        <f>IF(C42="",NA(),MATCH($B42&amp;$C42,'Smelter Look-up'!$J:$J,0))</f>
        <v>225</v>
      </c>
      <c r="W42" s="276"/>
      <c r="X42" s="276">
        <f t="shared" si="7"/>
        <v>0</v>
      </c>
      <c r="Y42" s="276"/>
      <c r="Z42" s="276"/>
      <c r="AB42" s="278" t="str">
        <f t="shared" si="8"/>
        <v>GoldShirpur Gold Refinery Ltd.</v>
      </c>
    </row>
    <row r="43" spans="1:28" s="277" customFormat="1" ht="37.799999999999997">
      <c r="A43" s="216" t="s">
        <v>2374</v>
      </c>
      <c r="B43" s="217" t="s">
        <v>1153</v>
      </c>
      <c r="C43" s="221" t="s">
        <v>2373</v>
      </c>
      <c r="D43" s="283" t="s">
        <v>2373</v>
      </c>
      <c r="E43" s="217" t="s">
        <v>1118</v>
      </c>
      <c r="F43" s="217" t="str">
        <f ca="1">IF(ISERROR($V43),"",OFFSET('Smelter Look-up'!$E$4,$V43-4,0))</f>
        <v>CID002587</v>
      </c>
      <c r="G43" s="217" t="str">
        <f ca="1">IF(C43=$X$4,"Enter smelter details",IF(ISERROR($V43),"",OFFSET('Smelter Look-up'!$F$4,$V43-4,0)))</f>
        <v>RMI</v>
      </c>
      <c r="H43" s="218" t="s">
        <v>15597</v>
      </c>
      <c r="I43" s="219" t="s">
        <v>1710</v>
      </c>
      <c r="J43" s="219" t="s">
        <v>3305</v>
      </c>
      <c r="K43" s="273"/>
      <c r="L43" s="273"/>
      <c r="M43" s="273"/>
      <c r="N43" s="273"/>
      <c r="O43" s="273" t="s">
        <v>15598</v>
      </c>
      <c r="P43" s="220"/>
      <c r="Q43" s="274"/>
      <c r="R43" s="217" t="str">
        <f ca="1">IF(ISERROR($V43),"",OFFSET('Smelter Look-up'!$C$4,$V43-4,0)&amp;"")</f>
        <v>Tony Goetz NV</v>
      </c>
      <c r="S43" s="225" t="str">
        <f t="shared" ca="1" si="6"/>
        <v>BE</v>
      </c>
      <c r="T43" s="225" t="str">
        <f ca="1">IF(B43="","",IF(ISERROR(MATCH($J43,SorP!$B$1:$B$6230,0)),"",INDIRECT("'SorP'!$A$"&amp;MATCH($J43,SorP!$B$1:$B$6230,0))))</f>
        <v>BE-VAN</v>
      </c>
      <c r="U43" s="241"/>
      <c r="V43" s="275">
        <f>IF(C43="",NA(),MATCH($B43&amp;$C43,'Smelter Look-up'!$J:$J,0))</f>
        <v>260</v>
      </c>
      <c r="W43" s="276"/>
      <c r="X43" s="276">
        <f t="shared" si="7"/>
        <v>0</v>
      </c>
      <c r="Y43" s="276"/>
      <c r="Z43" s="276"/>
      <c r="AB43" s="278" t="str">
        <f t="shared" si="8"/>
        <v>GoldTony Goetz NV</v>
      </c>
    </row>
    <row r="44" spans="1:28" s="277" customFormat="1" ht="37.799999999999997">
      <c r="A44" s="216" t="s">
        <v>14137</v>
      </c>
      <c r="B44" s="217" t="s">
        <v>1153</v>
      </c>
      <c r="C44" s="221" t="s">
        <v>14136</v>
      </c>
      <c r="D44" s="283" t="s">
        <v>14136</v>
      </c>
      <c r="E44" s="217" t="s">
        <v>1115</v>
      </c>
      <c r="F44" s="217" t="str">
        <f ca="1">IF(ISERROR($V44),"",OFFSET('Smelter Look-up'!$E$4,$V44-4,0))</f>
        <v>CID002584</v>
      </c>
      <c r="G44" s="217" t="str">
        <f ca="1">IF(C44=$X$4,"Enter smelter details",IF(ISERROR($V44),"",OFFSET('Smelter Look-up'!$F$4,$V44-4,0)))</f>
        <v>RMI</v>
      </c>
      <c r="H44" s="218" t="s">
        <v>15599</v>
      </c>
      <c r="I44" s="219" t="s">
        <v>14181</v>
      </c>
      <c r="J44" s="219" t="s">
        <v>2723</v>
      </c>
      <c r="K44" s="273"/>
      <c r="L44" s="273"/>
      <c r="M44" s="273"/>
      <c r="N44" s="273"/>
      <c r="O44" s="273" t="s">
        <v>15596</v>
      </c>
      <c r="P44" s="220"/>
      <c r="Q44" s="274"/>
      <c r="R44" s="217" t="str">
        <f ca="1">IF(ISERROR($V44),"",OFFSET('Smelter Look-up'!$C$4,$V44-4,0)&amp;"")</f>
        <v>Fujairah Gold FZC</v>
      </c>
      <c r="S44" s="225" t="str">
        <f t="shared" ca="1" si="6"/>
        <v>AE</v>
      </c>
      <c r="T44" s="225" t="str">
        <f ca="1">IF(B44="","",IF(ISERROR(MATCH($J44,SorP!$B$1:$B$6230,0)),"",INDIRECT("'SorP'!$A$"&amp;MATCH($J44,SorP!$B$1:$B$6230,0))))</f>
        <v>AE-FU</v>
      </c>
      <c r="U44" s="241"/>
      <c r="V44" s="275">
        <f>IF(C44="",NA(),MATCH($B44&amp;$C44,'Smelter Look-up'!$J:$J,0))</f>
        <v>77</v>
      </c>
      <c r="W44" s="276"/>
      <c r="X44" s="276">
        <f t="shared" si="7"/>
        <v>0</v>
      </c>
      <c r="Y44" s="276"/>
      <c r="Z44" s="276"/>
      <c r="AB44" s="278" t="str">
        <f t="shared" si="8"/>
        <v>GoldFujairah Gold FZC</v>
      </c>
    </row>
    <row r="45" spans="1:28" s="277" customFormat="1" ht="138.6">
      <c r="A45" s="216" t="s">
        <v>2442</v>
      </c>
      <c r="B45" s="217" t="s">
        <v>1153</v>
      </c>
      <c r="C45" s="221" t="s">
        <v>14140</v>
      </c>
      <c r="D45" s="283" t="s">
        <v>14140</v>
      </c>
      <c r="E45" s="217" t="s">
        <v>1139</v>
      </c>
      <c r="F45" s="217" t="str">
        <f ca="1">IF(ISERROR($V45),"",OFFSET('Smelter Look-up'!$E$4,$V45-4,0))</f>
        <v>CID002582</v>
      </c>
      <c r="G45" s="217" t="str">
        <f ca="1">IF(C45=$X$4,"Enter smelter details",IF(ISERROR($V45),"",OFFSET('Smelter Look-up'!$F$4,$V45-4,0)))</f>
        <v>RMI</v>
      </c>
      <c r="H45" s="218" t="s">
        <v>15600</v>
      </c>
      <c r="I45" s="219" t="s">
        <v>2480</v>
      </c>
      <c r="J45" s="219" t="s">
        <v>9192</v>
      </c>
      <c r="K45" s="273"/>
      <c r="L45" s="273"/>
      <c r="M45" s="273"/>
      <c r="N45" s="273" t="s">
        <v>15601</v>
      </c>
      <c r="O45" s="273" t="s">
        <v>15602</v>
      </c>
      <c r="P45" s="220"/>
      <c r="Q45" s="274" t="s">
        <v>15513</v>
      </c>
      <c r="R45" s="217" t="str">
        <f ca="1">IF(ISERROR($V45),"",OFFSET('Smelter Look-up'!$C$4,$V45-4,0)&amp;"")</f>
        <v>REMONDIS PMR B.V.</v>
      </c>
      <c r="S45" s="225" t="str">
        <f t="shared" ca="1" si="6"/>
        <v>NL</v>
      </c>
      <c r="T45" s="225" t="str">
        <f ca="1">IF(B45="","",IF(ISERROR(MATCH($J45,SorP!$B$1:$B$6230,0)),"",INDIRECT("'SorP'!$A$"&amp;MATCH($J45,SorP!$B$1:$B$6230,0))))</f>
        <v>NL-NB</v>
      </c>
      <c r="U45" s="241"/>
      <c r="V45" s="275">
        <f>IF(C45="",NA(),MATCH($B45&amp;$C45,'Smelter Look-up'!$J:$J,0))</f>
        <v>201</v>
      </c>
      <c r="W45" s="276"/>
      <c r="X45" s="276">
        <f t="shared" si="7"/>
        <v>0</v>
      </c>
      <c r="Y45" s="276"/>
      <c r="Z45" s="276"/>
      <c r="AB45" s="278" t="str">
        <f t="shared" si="8"/>
        <v>GoldREMONDIS PMR B.V.</v>
      </c>
    </row>
    <row r="46" spans="1:28" s="277" customFormat="1" ht="138.6">
      <c r="A46" s="216" t="s">
        <v>1747</v>
      </c>
      <c r="B46" s="217" t="s">
        <v>1153</v>
      </c>
      <c r="C46" s="221" t="s">
        <v>2327</v>
      </c>
      <c r="D46" s="283" t="s">
        <v>2327</v>
      </c>
      <c r="E46" s="217" t="s">
        <v>1130</v>
      </c>
      <c r="F46" s="217" t="str">
        <f ca="1">IF(ISERROR($V46),"",OFFSET('Smelter Look-up'!$E$4,$V46-4,0))</f>
        <v>CID002580</v>
      </c>
      <c r="G46" s="217" t="str">
        <f ca="1">IF(C46=$X$4,"Enter smelter details",IF(ISERROR($V46),"",OFFSET('Smelter Look-up'!$F$4,$V46-4,0)))</f>
        <v>RMI</v>
      </c>
      <c r="H46" s="218" t="s">
        <v>15603</v>
      </c>
      <c r="I46" s="219" t="s">
        <v>1748</v>
      </c>
      <c r="J46" s="219" t="s">
        <v>6691</v>
      </c>
      <c r="K46" s="273"/>
      <c r="L46" s="273"/>
      <c r="M46" s="273"/>
      <c r="N46" s="273" t="s">
        <v>15604</v>
      </c>
      <c r="O46" s="273" t="s">
        <v>15605</v>
      </c>
      <c r="P46" s="220"/>
      <c r="Q46" s="274" t="s">
        <v>15513</v>
      </c>
      <c r="R46" s="217" t="str">
        <f ca="1">IF(ISERROR($V46),"",OFFSET('Smelter Look-up'!$C$4,$V46-4,0)&amp;"")</f>
        <v>T.C.A S.p.A</v>
      </c>
      <c r="S46" s="225" t="str">
        <f t="shared" ca="1" si="6"/>
        <v>IT</v>
      </c>
      <c r="T46" s="225" t="str">
        <f ca="1">IF(B46="","",IF(ISERROR(MATCH($J46,SorP!$B$1:$B$6230,0)),"",INDIRECT("'SorP'!$A$"&amp;MATCH($J46,SorP!$B$1:$B$6230,0))))</f>
        <v>IT-52</v>
      </c>
      <c r="U46" s="241"/>
      <c r="V46" s="275">
        <f>IF(C46="",NA(),MATCH($B46&amp;$C46,'Smelter Look-up'!$J:$J,0))</f>
        <v>243</v>
      </c>
      <c r="W46" s="276"/>
      <c r="X46" s="276">
        <f t="shared" si="7"/>
        <v>0</v>
      </c>
      <c r="Y46" s="276"/>
      <c r="Z46" s="276"/>
      <c r="AB46" s="278" t="str">
        <f t="shared" si="8"/>
        <v>GoldT.C.A S.p.A</v>
      </c>
    </row>
    <row r="47" spans="1:28" s="277" customFormat="1" ht="37.799999999999997">
      <c r="A47" s="216" t="s">
        <v>1745</v>
      </c>
      <c r="B47" s="217" t="s">
        <v>1153</v>
      </c>
      <c r="C47" s="221" t="s">
        <v>1744</v>
      </c>
      <c r="D47" s="283" t="s">
        <v>1744</v>
      </c>
      <c r="E47" s="217" t="s">
        <v>908</v>
      </c>
      <c r="F47" s="217" t="str">
        <f ca="1">IF(ISERROR($V47),"",OFFSET('Smelter Look-up'!$E$4,$V47-4,0))</f>
        <v>CID002567</v>
      </c>
      <c r="G47" s="217" t="str">
        <f ca="1">IF(C47=$X$4,"Enter smelter details",IF(ISERROR($V47),"",OFFSET('Smelter Look-up'!$F$4,$V47-4,0)))</f>
        <v>RMI</v>
      </c>
      <c r="H47" s="218" t="s">
        <v>15606</v>
      </c>
      <c r="I47" s="219" t="s">
        <v>1746</v>
      </c>
      <c r="J47" s="219" t="s">
        <v>1746</v>
      </c>
      <c r="K47" s="273"/>
      <c r="L47" s="273"/>
      <c r="M47" s="273"/>
      <c r="N47" s="273"/>
      <c r="O47" s="273" t="s">
        <v>15607</v>
      </c>
      <c r="P47" s="220"/>
      <c r="Q47" s="274"/>
      <c r="R47" s="217" t="str">
        <f ca="1">IF(ISERROR($V47),"",OFFSET('Smelter Look-up'!$C$4,$V47-4,0)&amp;"")</f>
        <v>Sudan Gold Refinery</v>
      </c>
      <c r="S47" s="225" t="str">
        <f t="shared" ca="1" si="6"/>
        <v>SD</v>
      </c>
      <c r="T47" s="225" t="str">
        <f ca="1">IF(B47="","",IF(ISERROR(MATCH($J47,SorP!$B$1:$B$6230,0)),"",INDIRECT("'SorP'!$A$"&amp;MATCH($J47,SorP!$B$1:$B$6230,0))))</f>
        <v>SD-KH</v>
      </c>
      <c r="U47" s="241"/>
      <c r="V47" s="275">
        <f>IF(C47="",NA(),MATCH($B47&amp;$C47,'Smelter Look-up'!$J:$J,0))</f>
        <v>238</v>
      </c>
      <c r="W47" s="276"/>
      <c r="X47" s="276">
        <f t="shared" si="7"/>
        <v>0</v>
      </c>
      <c r="Y47" s="276"/>
      <c r="Z47" s="276"/>
      <c r="AB47" s="278" t="str">
        <f t="shared" si="8"/>
        <v>GoldSudan Gold Refinery</v>
      </c>
    </row>
    <row r="48" spans="1:28" s="277" customFormat="1" ht="50.4">
      <c r="A48" s="216" t="s">
        <v>1743</v>
      </c>
      <c r="B48" s="217" t="s">
        <v>1153</v>
      </c>
      <c r="C48" s="221" t="s">
        <v>1742</v>
      </c>
      <c r="D48" s="283" t="s">
        <v>1742</v>
      </c>
      <c r="E48" s="217" t="s">
        <v>1115</v>
      </c>
      <c r="F48" s="217" t="str">
        <f ca="1">IF(ISERROR($V48),"",OFFSET('Smelter Look-up'!$E$4,$V48-4,0))</f>
        <v>CID002563</v>
      </c>
      <c r="G48" s="217" t="str">
        <f ca="1">IF(C48=$X$4,"Enter smelter details",IF(ISERROR($V48),"",OFFSET('Smelter Look-up'!$F$4,$V48-4,0)))</f>
        <v>RMI</v>
      </c>
      <c r="H48" s="218" t="s">
        <v>15608</v>
      </c>
      <c r="I48" s="219" t="s">
        <v>1739</v>
      </c>
      <c r="J48" s="219" t="s">
        <v>2725</v>
      </c>
      <c r="K48" s="273"/>
      <c r="L48" s="273"/>
      <c r="M48" s="273"/>
      <c r="N48" s="273"/>
      <c r="O48" s="273" t="s">
        <v>15609</v>
      </c>
      <c r="P48" s="220"/>
      <c r="Q48" s="274"/>
      <c r="R48" s="217" t="str">
        <f ca="1">IF(ISERROR($V48),"",OFFSET('Smelter Look-up'!$C$4,$V48-4,0)&amp;"")</f>
        <v>Kaloti Precious Metals</v>
      </c>
      <c r="S48" s="225" t="str">
        <f t="shared" ca="1" si="6"/>
        <v>AE</v>
      </c>
      <c r="T48" s="225" t="str">
        <f ca="1">IF(B48="","",IF(ISERROR(MATCH($J48,SorP!$B$1:$B$6230,0)),"",INDIRECT("'SorP'!$A$"&amp;MATCH($J48,SorP!$B$1:$B$6230,0))))</f>
        <v>AE-DU</v>
      </c>
      <c r="U48" s="241"/>
      <c r="V48" s="275">
        <f>IF(C48="",NA(),MATCH($B48&amp;$C48,'Smelter Look-up'!$J:$J,0))</f>
        <v>121</v>
      </c>
      <c r="W48" s="276"/>
      <c r="X48" s="276">
        <f t="shared" si="7"/>
        <v>0</v>
      </c>
      <c r="Y48" s="276"/>
      <c r="Z48" s="276"/>
      <c r="AB48" s="278" t="str">
        <f t="shared" si="8"/>
        <v>GoldKaloti Precious Metals</v>
      </c>
    </row>
    <row r="49" spans="1:28" s="277" customFormat="1" ht="63">
      <c r="A49" s="216" t="s">
        <v>14139</v>
      </c>
      <c r="B49" s="217" t="s">
        <v>1153</v>
      </c>
      <c r="C49" s="221" t="s">
        <v>14138</v>
      </c>
      <c r="D49" s="283" t="s">
        <v>14138</v>
      </c>
      <c r="E49" s="217" t="s">
        <v>1115</v>
      </c>
      <c r="F49" s="217" t="str">
        <f ca="1">IF(ISERROR($V49),"",OFFSET('Smelter Look-up'!$E$4,$V49-4,0))</f>
        <v>CID002562</v>
      </c>
      <c r="G49" s="217" t="str">
        <f ca="1">IF(C49=$X$4,"Enter smelter details",IF(ISERROR($V49),"",OFFSET('Smelter Look-up'!$F$4,$V49-4,0)))</f>
        <v>RMI</v>
      </c>
      <c r="H49" s="218" t="s">
        <v>15608</v>
      </c>
      <c r="I49" s="219" t="s">
        <v>1739</v>
      </c>
      <c r="J49" s="219" t="s">
        <v>2725</v>
      </c>
      <c r="K49" s="273"/>
      <c r="L49" s="273"/>
      <c r="M49" s="273"/>
      <c r="N49" s="273"/>
      <c r="O49" s="273" t="s">
        <v>15521</v>
      </c>
      <c r="P49" s="220"/>
      <c r="Q49" s="274"/>
      <c r="R49" s="217" t="str">
        <f ca="1">IF(ISERROR($V49),"",OFFSET('Smelter Look-up'!$C$4,$V49-4,0)&amp;"")</f>
        <v>International Precious Metal Refiners</v>
      </c>
      <c r="S49" s="225" t="str">
        <f t="shared" ca="1" si="6"/>
        <v>AE</v>
      </c>
      <c r="T49" s="225" t="str">
        <f ca="1">IF(B49="","",IF(ISERROR(MATCH($J49,SorP!$B$1:$B$6230,0)),"",INDIRECT("'SorP'!$A$"&amp;MATCH($J49,SorP!$B$1:$B$6230,0))))</f>
        <v>AE-DU</v>
      </c>
      <c r="U49" s="241"/>
      <c r="V49" s="275">
        <f>IF(C49="",NA(),MATCH($B49&amp;$C49,'Smelter Look-up'!$J:$J,0))</f>
        <v>106</v>
      </c>
      <c r="W49" s="276"/>
      <c r="X49" s="276">
        <f t="shared" si="7"/>
        <v>0</v>
      </c>
      <c r="Y49" s="276"/>
      <c r="Z49" s="276"/>
      <c r="AB49" s="278" t="str">
        <f t="shared" si="8"/>
        <v>GoldInternational Precious Metal Refiners</v>
      </c>
    </row>
    <row r="50" spans="1:28" s="277" customFormat="1" ht="189">
      <c r="A50" s="216" t="s">
        <v>1741</v>
      </c>
      <c r="B50" s="217" t="s">
        <v>1153</v>
      </c>
      <c r="C50" s="221" t="s">
        <v>1740</v>
      </c>
      <c r="D50" s="283" t="s">
        <v>1740</v>
      </c>
      <c r="E50" s="217" t="s">
        <v>1115</v>
      </c>
      <c r="F50" s="217" t="str">
        <f ca="1">IF(ISERROR($V50),"",OFFSET('Smelter Look-up'!$E$4,$V50-4,0))</f>
        <v>CID002561</v>
      </c>
      <c r="G50" s="217" t="str">
        <f ca="1">IF(C50=$X$4,"Enter smelter details",IF(ISERROR($V50),"",OFFSET('Smelter Look-up'!$F$4,$V50-4,0)))</f>
        <v>RMI</v>
      </c>
      <c r="H50" s="218" t="s">
        <v>15610</v>
      </c>
      <c r="I50" s="219" t="s">
        <v>1739</v>
      </c>
      <c r="J50" s="219" t="s">
        <v>2725</v>
      </c>
      <c r="K50" s="273"/>
      <c r="L50" s="273"/>
      <c r="M50" s="273"/>
      <c r="N50" s="273" t="s">
        <v>15611</v>
      </c>
      <c r="O50" s="273" t="s">
        <v>15612</v>
      </c>
      <c r="P50" s="220"/>
      <c r="Q50" s="274" t="s">
        <v>15513</v>
      </c>
      <c r="R50" s="217" t="str">
        <f ca="1">IF(ISERROR($V50),"",OFFSET('Smelter Look-up'!$C$4,$V50-4,0)&amp;"")</f>
        <v>Emirates Gold DMCC</v>
      </c>
      <c r="S50" s="225" t="str">
        <f t="shared" ca="1" si="6"/>
        <v>AE</v>
      </c>
      <c r="T50" s="225" t="str">
        <f ca="1">IF(B50="","",IF(ISERROR(MATCH($J50,SorP!$B$1:$B$6230,0)),"",INDIRECT("'SorP'!$A$"&amp;MATCH($J50,SorP!$B$1:$B$6230,0))))</f>
        <v>AE-DU</v>
      </c>
      <c r="U50" s="241"/>
      <c r="V50" s="275">
        <f>IF(C50="",NA(),MATCH($B50&amp;$C50,'Smelter Look-up'!$J:$J,0))</f>
        <v>73</v>
      </c>
      <c r="W50" s="276"/>
      <c r="X50" s="276">
        <f t="shared" si="7"/>
        <v>0</v>
      </c>
      <c r="Y50" s="276"/>
      <c r="Z50" s="276"/>
      <c r="AB50" s="278" t="str">
        <f t="shared" si="8"/>
        <v>GoldEmirates Gold DMCC</v>
      </c>
    </row>
    <row r="51" spans="1:28" s="277" customFormat="1" ht="214.2">
      <c r="A51" s="216" t="s">
        <v>1738</v>
      </c>
      <c r="B51" s="217" t="s">
        <v>1153</v>
      </c>
      <c r="C51" s="221" t="s">
        <v>1737</v>
      </c>
      <c r="D51" s="283" t="s">
        <v>1737</v>
      </c>
      <c r="E51" s="217" t="s">
        <v>1115</v>
      </c>
      <c r="F51" s="217" t="str">
        <f ca="1">IF(ISERROR($V51),"",OFFSET('Smelter Look-up'!$E$4,$V51-4,0))</f>
        <v>CID002560</v>
      </c>
      <c r="G51" s="217" t="str">
        <f ca="1">IF(C51=$X$4,"Enter smelter details",IF(ISERROR($V51),"",OFFSET('Smelter Look-up'!$F$4,$V51-4,0)))</f>
        <v>RMI</v>
      </c>
      <c r="H51" s="218" t="s">
        <v>15610</v>
      </c>
      <c r="I51" s="219" t="s">
        <v>1739</v>
      </c>
      <c r="J51" s="219" t="s">
        <v>2725</v>
      </c>
      <c r="K51" s="273"/>
      <c r="L51" s="273"/>
      <c r="M51" s="273"/>
      <c r="N51" s="273" t="s">
        <v>15613</v>
      </c>
      <c r="O51" s="273" t="s">
        <v>15614</v>
      </c>
      <c r="P51" s="220"/>
      <c r="Q51" s="274" t="s">
        <v>15513</v>
      </c>
      <c r="R51" s="217" t="str">
        <f ca="1">IF(ISERROR($V51),"",OFFSET('Smelter Look-up'!$C$4,$V51-4,0)&amp;"")</f>
        <v>Al Etihad Gold Refinery DMCC</v>
      </c>
      <c r="S51" s="225" t="str">
        <f t="shared" ca="1" si="6"/>
        <v>AE</v>
      </c>
      <c r="T51" s="225" t="str">
        <f ca="1">IF(B51="","",IF(ISERROR(MATCH($J51,SorP!$B$1:$B$6230,0)),"",INDIRECT("'SorP'!$A$"&amp;MATCH($J51,SorP!$B$1:$B$6230,0))))</f>
        <v>AE-DU</v>
      </c>
      <c r="U51" s="241"/>
      <c r="V51" s="275">
        <f>IF(C51="",NA(),MATCH($B51&amp;$C51,'Smelter Look-up'!$J:$J,0))</f>
        <v>13</v>
      </c>
      <c r="W51" s="276"/>
      <c r="X51" s="276">
        <f t="shared" si="7"/>
        <v>0</v>
      </c>
      <c r="Y51" s="276"/>
      <c r="Z51" s="276"/>
      <c r="AB51" s="278" t="str">
        <f t="shared" si="8"/>
        <v>GoldAl Etihad Gold Refinery DMCC</v>
      </c>
    </row>
    <row r="52" spans="1:28" s="277" customFormat="1" ht="63">
      <c r="A52" s="216" t="s">
        <v>14142</v>
      </c>
      <c r="B52" s="217" t="s">
        <v>1153</v>
      </c>
      <c r="C52" s="221" t="s">
        <v>14141</v>
      </c>
      <c r="D52" s="283" t="s">
        <v>14141</v>
      </c>
      <c r="E52" s="217" t="s">
        <v>1123</v>
      </c>
      <c r="F52" s="217" t="str">
        <f ca="1">IF(ISERROR($V52),"",OFFSET('Smelter Look-up'!$E$4,$V52-4,0))</f>
        <v>CID002525</v>
      </c>
      <c r="G52" s="217" t="str">
        <f ca="1">IF(C52=$X$4,"Enter smelter details",IF(ISERROR($V52),"",OFFSET('Smelter Look-up'!$F$4,$V52-4,0)))</f>
        <v>RMI</v>
      </c>
      <c r="H52" s="218" t="s">
        <v>15615</v>
      </c>
      <c r="I52" s="219" t="s">
        <v>1687</v>
      </c>
      <c r="J52" s="219" t="s">
        <v>13967</v>
      </c>
      <c r="K52" s="273"/>
      <c r="L52" s="273"/>
      <c r="M52" s="273"/>
      <c r="N52" s="273"/>
      <c r="O52" s="273" t="s">
        <v>15616</v>
      </c>
      <c r="P52" s="220"/>
      <c r="Q52" s="274"/>
      <c r="R52" s="217" t="str">
        <f ca="1">IF(ISERROR($V52),"",OFFSET('Smelter Look-up'!$C$4,$V52-4,0)&amp;"")</f>
        <v>Shandong Humon Smelting Co., Ltd.</v>
      </c>
      <c r="S52" s="225" t="str">
        <f t="shared" ca="1" si="6"/>
        <v>CN</v>
      </c>
      <c r="T52" s="225" t="str">
        <f ca="1">IF(B52="","",IF(ISERROR(MATCH($J52,SorP!$B$1:$B$6230,0)),"",INDIRECT("'SorP'!$A$"&amp;MATCH($J52,SorP!$B$1:$B$6230,0))))</f>
        <v>CN-SD</v>
      </c>
      <c r="U52" s="241"/>
      <c r="V52" s="275">
        <f>IF(C52="",NA(),MATCH($B52&amp;$C52,'Smelter Look-up'!$J:$J,0))</f>
        <v>219</v>
      </c>
      <c r="W52" s="276"/>
      <c r="X52" s="276">
        <f t="shared" si="7"/>
        <v>0</v>
      </c>
      <c r="Y52" s="276"/>
      <c r="Z52" s="276"/>
      <c r="AB52" s="278" t="str">
        <f t="shared" si="8"/>
        <v>GoldShandong Humon Smelting Co., Ltd.</v>
      </c>
    </row>
    <row r="53" spans="1:28" s="277" customFormat="1" ht="264.60000000000002">
      <c r="A53" s="216" t="s">
        <v>1417</v>
      </c>
      <c r="B53" s="217" t="s">
        <v>1153</v>
      </c>
      <c r="C53" s="221" t="s">
        <v>1416</v>
      </c>
      <c r="D53" s="283" t="s">
        <v>1416</v>
      </c>
      <c r="E53" s="217" t="s">
        <v>2575</v>
      </c>
      <c r="F53" s="217" t="str">
        <f ca="1">IF(ISERROR($V53),"",OFFSET('Smelter Look-up'!$E$4,$V53-4,0))</f>
        <v>CID002516</v>
      </c>
      <c r="G53" s="217" t="str">
        <f ca="1">IF(C53=$X$4,"Enter smelter details",IF(ISERROR($V53),"",OFFSET('Smelter Look-up'!$F$4,$V53-4,0)))</f>
        <v>RMI</v>
      </c>
      <c r="H53" s="218" t="s">
        <v>15617</v>
      </c>
      <c r="I53" s="219" t="s">
        <v>1735</v>
      </c>
      <c r="J53" s="219" t="s">
        <v>1736</v>
      </c>
      <c r="K53" s="273"/>
      <c r="L53" s="273"/>
      <c r="M53" s="273"/>
      <c r="N53" s="273" t="s">
        <v>15618</v>
      </c>
      <c r="O53" s="273" t="s">
        <v>15619</v>
      </c>
      <c r="P53" s="220"/>
      <c r="Q53" s="274" t="s">
        <v>15513</v>
      </c>
      <c r="R53" s="217" t="str">
        <f ca="1">IF(ISERROR($V53),"",OFFSET('Smelter Look-up'!$C$4,$V53-4,0)&amp;"")</f>
        <v>Singway Technology Co., Ltd.</v>
      </c>
      <c r="S53" s="225" t="str">
        <f t="shared" ca="1" si="6"/>
        <v>TW</v>
      </c>
      <c r="T53" s="225" t="str">
        <f ca="1">IF(B53="","",IF(ISERROR(MATCH($J53,SorP!$B$1:$B$6230,0)),"",INDIRECT("'SorP'!$A$"&amp;MATCH($J53,SorP!$B$1:$B$6230,0))))</f>
        <v>TW-TAO</v>
      </c>
      <c r="U53" s="241"/>
      <c r="V53" s="275">
        <f>IF(C53="",NA(),MATCH($B53&amp;$C53,'Smelter Look-up'!$J:$J,0))</f>
        <v>230</v>
      </c>
      <c r="W53" s="276"/>
      <c r="X53" s="276">
        <f t="shared" si="7"/>
        <v>0</v>
      </c>
      <c r="Y53" s="276"/>
      <c r="Z53" s="276"/>
      <c r="AB53" s="278" t="str">
        <f t="shared" si="8"/>
        <v>GoldSingway Technology Co., Ltd.</v>
      </c>
    </row>
    <row r="54" spans="1:28" s="277" customFormat="1" ht="75.599999999999994">
      <c r="A54" s="216" t="s">
        <v>1410</v>
      </c>
      <c r="B54" s="217" t="s">
        <v>1153</v>
      </c>
      <c r="C54" s="221" t="s">
        <v>1409</v>
      </c>
      <c r="D54" s="283" t="s">
        <v>1409</v>
      </c>
      <c r="E54" s="217" t="s">
        <v>918</v>
      </c>
      <c r="F54" s="217" t="str">
        <f ca="1">IF(ISERROR($V54),"",OFFSET('Smelter Look-up'!$E$4,$V54-4,0))</f>
        <v>CID002515</v>
      </c>
      <c r="G54" s="217" t="str">
        <f ca="1">IF(C54=$X$4,"Enter smelter details",IF(ISERROR($V54),"",OFFSET('Smelter Look-up'!$F$4,$V54-4,0)))</f>
        <v>RMI</v>
      </c>
      <c r="H54" s="218" t="s">
        <v>15620</v>
      </c>
      <c r="I54" s="219" t="s">
        <v>1733</v>
      </c>
      <c r="J54" s="219" t="s">
        <v>1734</v>
      </c>
      <c r="K54" s="273"/>
      <c r="L54" s="273"/>
      <c r="M54" s="273"/>
      <c r="N54" s="273"/>
      <c r="O54" s="273" t="s">
        <v>15621</v>
      </c>
      <c r="P54" s="220"/>
      <c r="Q54" s="274"/>
      <c r="R54" s="217" t="str">
        <f ca="1">IF(ISERROR($V54),"",OFFSET('Smelter Look-up'!$C$4,$V54-4,0)&amp;"")</f>
        <v>Fidelity Printers and Refiners Ltd.</v>
      </c>
      <c r="S54" s="225" t="str">
        <f t="shared" ca="1" si="6"/>
        <v>ZW</v>
      </c>
      <c r="T54" s="225" t="str">
        <f ca="1">IF(B54="","",IF(ISERROR(MATCH($J54,SorP!$B$1:$B$6230,0)),"",INDIRECT("'SorP'!$A$"&amp;MATCH($J54,SorP!$B$1:$B$6230,0))))</f>
        <v>ZW-HA</v>
      </c>
      <c r="U54" s="241"/>
      <c r="V54" s="275">
        <f>IF(C54="",NA(),MATCH($B54&amp;$C54,'Smelter Look-up'!$J:$J,0))</f>
        <v>75</v>
      </c>
      <c r="W54" s="276"/>
      <c r="X54" s="276">
        <f t="shared" si="7"/>
        <v>0</v>
      </c>
      <c r="Y54" s="276"/>
      <c r="Z54" s="276"/>
      <c r="AB54" s="278" t="str">
        <f t="shared" si="8"/>
        <v>GoldFidelity Printers and Refiners Ltd.</v>
      </c>
    </row>
    <row r="55" spans="1:28" s="277" customFormat="1" ht="226.8">
      <c r="A55" s="216" t="s">
        <v>1412</v>
      </c>
      <c r="B55" s="217" t="s">
        <v>1153</v>
      </c>
      <c r="C55" s="221" t="s">
        <v>13033</v>
      </c>
      <c r="D55" s="283" t="s">
        <v>13033</v>
      </c>
      <c r="E55" s="217" t="s">
        <v>905</v>
      </c>
      <c r="F55" s="217" t="str">
        <f ca="1">IF(ISERROR($V55),"",OFFSET('Smelter Look-up'!$E$4,$V55-4,0))</f>
        <v>CID002511</v>
      </c>
      <c r="G55" s="217" t="str">
        <f ca="1">IF(C55=$X$4,"Enter smelter details",IF(ISERROR($V55),"",OFFSET('Smelter Look-up'!$F$4,$V55-4,0)))</f>
        <v>RMI</v>
      </c>
      <c r="H55" s="218" t="s">
        <v>15622</v>
      </c>
      <c r="I55" s="219" t="s">
        <v>1732</v>
      </c>
      <c r="J55" s="219" t="s">
        <v>9819</v>
      </c>
      <c r="K55" s="273"/>
      <c r="L55" s="273"/>
      <c r="M55" s="273"/>
      <c r="N55" s="273" t="s">
        <v>15623</v>
      </c>
      <c r="O55" s="273" t="s">
        <v>15624</v>
      </c>
      <c r="P55" s="220"/>
      <c r="Q55" s="274" t="s">
        <v>15513</v>
      </c>
      <c r="R55" s="217" t="str">
        <f ca="1">IF(ISERROR($V55),"",OFFSET('Smelter Look-up'!$C$4,$V55-4,0)&amp;"")</f>
        <v>KGHM Polska Miedz Spolka Akcyjna</v>
      </c>
      <c r="S55" s="225" t="str">
        <f t="shared" ca="1" si="6"/>
        <v>PL</v>
      </c>
      <c r="T55" s="225" t="str">
        <f ca="1">IF(B55="","",IF(ISERROR(MATCH($J55,SorP!$B$1:$B$6230,0)),"",INDIRECT("'SorP'!$A$"&amp;MATCH($J55,SorP!$B$1:$B$6230,0))))</f>
        <v>PL-02</v>
      </c>
      <c r="U55" s="241"/>
      <c r="V55" s="275">
        <f>IF(C55="",NA(),MATCH($B55&amp;$C55,'Smelter Look-up'!$J:$J,0))</f>
        <v>126</v>
      </c>
      <c r="W55" s="276"/>
      <c r="X55" s="276">
        <f t="shared" si="7"/>
        <v>0</v>
      </c>
      <c r="Y55" s="276"/>
      <c r="Z55" s="276"/>
      <c r="AB55" s="278" t="str">
        <f t="shared" si="8"/>
        <v>GoldKGHM Polska Miedz Spolka Akcyjna</v>
      </c>
    </row>
    <row r="56" spans="1:28" s="277" customFormat="1" ht="163.80000000000001">
      <c r="A56" s="216" t="s">
        <v>1414</v>
      </c>
      <c r="B56" s="217" t="s">
        <v>1153</v>
      </c>
      <c r="C56" s="221" t="s">
        <v>2278</v>
      </c>
      <c r="D56" s="283" t="s">
        <v>2278</v>
      </c>
      <c r="E56" s="217" t="s">
        <v>1129</v>
      </c>
      <c r="F56" s="217" t="str">
        <f ca="1">IF(ISERROR($V56),"",OFFSET('Smelter Look-up'!$E$4,$V56-4,0))</f>
        <v>CID002509</v>
      </c>
      <c r="G56" s="217" t="str">
        <f ca="1">IF(C56=$X$4,"Enter smelter details",IF(ISERROR($V56),"",OFFSET('Smelter Look-up'!$F$4,$V56-4,0)))</f>
        <v>RMI</v>
      </c>
      <c r="H56" s="218" t="s">
        <v>15625</v>
      </c>
      <c r="I56" s="219" t="s">
        <v>1729</v>
      </c>
      <c r="J56" s="219" t="s">
        <v>1730</v>
      </c>
      <c r="K56" s="273"/>
      <c r="L56" s="273"/>
      <c r="M56" s="273"/>
      <c r="N56" s="273" t="s">
        <v>15626</v>
      </c>
      <c r="O56" s="273" t="s">
        <v>15627</v>
      </c>
      <c r="P56" s="220"/>
      <c r="Q56" s="274" t="s">
        <v>15513</v>
      </c>
      <c r="R56" s="217" t="str">
        <f ca="1">IF(ISERROR($V56),"",OFFSET('Smelter Look-up'!$C$4,$V56-4,0)&amp;"")</f>
        <v>MMTC-PAMP India Pvt., Ltd.</v>
      </c>
      <c r="S56" s="225" t="str">
        <f t="shared" ca="1" si="6"/>
        <v>IN</v>
      </c>
      <c r="T56" s="225" t="str">
        <f ca="1">IF(B56="","",IF(ISERROR(MATCH($J56,SorP!$B$1:$B$6230,0)),"",INDIRECT("'SorP'!$A$"&amp;MATCH($J56,SorP!$B$1:$B$6230,0))))</f>
        <v>IN-HR</v>
      </c>
      <c r="U56" s="241"/>
      <c r="V56" s="275">
        <f>IF(C56="",NA(),MATCH($B56&amp;$C56,'Smelter Look-up'!$J:$J,0))</f>
        <v>167</v>
      </c>
      <c r="W56" s="276"/>
      <c r="X56" s="276">
        <f t="shared" si="7"/>
        <v>0</v>
      </c>
      <c r="Y56" s="276"/>
      <c r="Z56" s="276"/>
      <c r="AB56" s="278" t="str">
        <f t="shared" si="8"/>
        <v>GoldMMTC-PAMP India Pvt., Ltd.</v>
      </c>
    </row>
    <row r="57" spans="1:28" s="277" customFormat="1" ht="113.4">
      <c r="A57" s="216" t="s">
        <v>1728</v>
      </c>
      <c r="B57" s="217" t="s">
        <v>1153</v>
      </c>
      <c r="C57" s="221" t="s">
        <v>1727</v>
      </c>
      <c r="D57" s="283" t="s">
        <v>1727</v>
      </c>
      <c r="E57" s="217" t="s">
        <v>2576</v>
      </c>
      <c r="F57" s="217" t="str">
        <f ca="1">IF(ISERROR($V57),"",OFFSET('Smelter Look-up'!$E$4,$V57-4,0))</f>
        <v>CID002459</v>
      </c>
      <c r="G57" s="217" t="str">
        <f ca="1">IF(C57=$X$4,"Enter smelter details",IF(ISERROR($V57),"",OFFSET('Smelter Look-up'!$F$4,$V57-4,0)))</f>
        <v>RMI</v>
      </c>
      <c r="H57" s="218" t="s">
        <v>15628</v>
      </c>
      <c r="I57" s="219" t="s">
        <v>1568</v>
      </c>
      <c r="J57" s="219" t="s">
        <v>1569</v>
      </c>
      <c r="K57" s="273"/>
      <c r="L57" s="273"/>
      <c r="M57" s="273"/>
      <c r="N57" s="273" t="s">
        <v>15629</v>
      </c>
      <c r="O57" s="273" t="s">
        <v>15630</v>
      </c>
      <c r="P57" s="220"/>
      <c r="Q57" s="274" t="s">
        <v>15513</v>
      </c>
      <c r="R57" s="217" t="str">
        <f ca="1">IF(ISERROR($V57),"",OFFSET('Smelter Look-up'!$C$4,$V57-4,0)&amp;"")</f>
        <v>Geib Refining Corporation</v>
      </c>
      <c r="S57" s="225" t="str">
        <f t="shared" ca="1" si="6"/>
        <v>US</v>
      </c>
      <c r="T57" s="225" t="str">
        <f ca="1">IF(B57="","",IF(ISERROR(MATCH($J57,SorP!$B$1:$B$6230,0)),"",INDIRECT("'SorP'!$A$"&amp;MATCH($J57,SorP!$B$1:$B$6230,0))))</f>
        <v>US-RI</v>
      </c>
      <c r="U57" s="241"/>
      <c r="V57" s="275">
        <f>IF(C57="",NA(),MATCH($B57&amp;$C57,'Smelter Look-up'!$J:$J,0))</f>
        <v>80</v>
      </c>
      <c r="W57" s="276"/>
      <c r="X57" s="276">
        <f t="shared" si="7"/>
        <v>0</v>
      </c>
      <c r="Y57" s="276"/>
      <c r="Z57" s="276"/>
      <c r="AB57" s="278" t="str">
        <f t="shared" si="8"/>
        <v>GoldGeib Refining Corporation</v>
      </c>
    </row>
    <row r="58" spans="1:28" s="277" customFormat="1" ht="138.6">
      <c r="A58" s="216" t="s">
        <v>150</v>
      </c>
      <c r="B58" s="217" t="s">
        <v>1153</v>
      </c>
      <c r="C58" s="221" t="s">
        <v>149</v>
      </c>
      <c r="D58" s="283" t="s">
        <v>149</v>
      </c>
      <c r="E58" s="217" t="s">
        <v>911</v>
      </c>
      <c r="F58" s="217" t="str">
        <f ca="1">IF(ISERROR($V58),"",OFFSET('Smelter Look-up'!$E$4,$V58-4,0))</f>
        <v>CID002314</v>
      </c>
      <c r="G58" s="217" t="str">
        <f ca="1">IF(C58=$X$4,"Enter smelter details",IF(ISERROR($V58),"",OFFSET('Smelter Look-up'!$F$4,$V58-4,0)))</f>
        <v>RMI</v>
      </c>
      <c r="H58" s="218" t="s">
        <v>15631</v>
      </c>
      <c r="I58" s="219" t="s">
        <v>12734</v>
      </c>
      <c r="J58" s="219" t="s">
        <v>11380</v>
      </c>
      <c r="K58" s="273"/>
      <c r="L58" s="273"/>
      <c r="M58" s="273"/>
      <c r="N58" s="273" t="s">
        <v>15632</v>
      </c>
      <c r="O58" s="273" t="s">
        <v>15633</v>
      </c>
      <c r="P58" s="220"/>
      <c r="Q58" s="274" t="s">
        <v>15513</v>
      </c>
      <c r="R58" s="217" t="str">
        <f ca="1">IF(ISERROR($V58),"",OFFSET('Smelter Look-up'!$C$4,$V58-4,0)&amp;"")</f>
        <v>Umicore Precious Metals Thailand</v>
      </c>
      <c r="S58" s="225" t="str">
        <f t="shared" ca="1" si="6"/>
        <v>TH</v>
      </c>
      <c r="T58" s="225" t="str">
        <f ca="1">IF(B58="","",IF(ISERROR(MATCH($J58,SorP!$B$1:$B$6230,0)),"",INDIRECT("'SorP'!$A$"&amp;MATCH($J58,SorP!$B$1:$B$6230,0))))</f>
        <v>TH-10</v>
      </c>
      <c r="U58" s="241"/>
      <c r="V58" s="275">
        <f>IF(C58="",NA(),MATCH($B58&amp;$C58,'Smelter Look-up'!$J:$J,0))</f>
        <v>266</v>
      </c>
      <c r="W58" s="276"/>
      <c r="X58" s="276">
        <f t="shared" si="7"/>
        <v>0</v>
      </c>
      <c r="Y58" s="276"/>
      <c r="Z58" s="276"/>
      <c r="AB58" s="278" t="str">
        <f t="shared" si="8"/>
        <v>GoldUmicore Precious Metals Thailand</v>
      </c>
    </row>
    <row r="59" spans="1:28" s="277" customFormat="1" ht="63">
      <c r="A59" s="216" t="s">
        <v>693</v>
      </c>
      <c r="B59" s="217" t="s">
        <v>1153</v>
      </c>
      <c r="C59" s="221" t="s">
        <v>692</v>
      </c>
      <c r="D59" s="283" t="s">
        <v>692</v>
      </c>
      <c r="E59" s="217" t="s">
        <v>1123</v>
      </c>
      <c r="F59" s="217" t="str">
        <f ca="1">IF(ISERROR($V59),"",OFFSET('Smelter Look-up'!$E$4,$V59-4,0))</f>
        <v>CID002312</v>
      </c>
      <c r="G59" s="217" t="str">
        <f ca="1">IF(C59=$X$4,"Enter smelter details",IF(ISERROR($V59),"",OFFSET('Smelter Look-up'!$F$4,$V59-4,0)))</f>
        <v>RMI</v>
      </c>
      <c r="H59" s="218" t="s">
        <v>15634</v>
      </c>
      <c r="I59" s="219" t="s">
        <v>1725</v>
      </c>
      <c r="J59" s="219" t="s">
        <v>13971</v>
      </c>
      <c r="K59" s="273"/>
      <c r="L59" s="273"/>
      <c r="M59" s="273"/>
      <c r="N59" s="273"/>
      <c r="O59" s="273" t="s">
        <v>15635</v>
      </c>
      <c r="P59" s="220"/>
      <c r="Q59" s="274"/>
      <c r="R59" s="217" t="str">
        <f ca="1">IF(ISERROR($V59),"",OFFSET('Smelter Look-up'!$C$4,$V59-4,0)&amp;"")</f>
        <v>Guangdong Jinding Gold Limited</v>
      </c>
      <c r="S59" s="225" t="str">
        <f t="shared" ca="1" si="6"/>
        <v>CN</v>
      </c>
      <c r="T59" s="225" t="str">
        <f ca="1">IF(B59="","",IF(ISERROR(MATCH($J59,SorP!$B$1:$B$6230,0)),"",INDIRECT("'SorP'!$A$"&amp;MATCH($J59,SorP!$B$1:$B$6230,0))))</f>
        <v>CN-GD</v>
      </c>
      <c r="U59" s="241"/>
      <c r="V59" s="275">
        <f>IF(C59="",NA(),MATCH($B59&amp;$C59,'Smelter Look-up'!$J:$J,0))</f>
        <v>87</v>
      </c>
      <c r="W59" s="276"/>
      <c r="X59" s="276">
        <f t="shared" si="7"/>
        <v>0</v>
      </c>
      <c r="Y59" s="276"/>
      <c r="Z59" s="276"/>
      <c r="AB59" s="278" t="str">
        <f t="shared" si="8"/>
        <v>GoldGuangdong Jinding Gold Limited</v>
      </c>
    </row>
    <row r="60" spans="1:28" s="277" customFormat="1" ht="63">
      <c r="A60" s="216" t="s">
        <v>2444</v>
      </c>
      <c r="B60" s="217" t="s">
        <v>1153</v>
      </c>
      <c r="C60" s="221" t="s">
        <v>15636</v>
      </c>
      <c r="D60" s="283" t="s">
        <v>15636</v>
      </c>
      <c r="E60" s="217" t="s">
        <v>13842</v>
      </c>
      <c r="F60" s="217" t="str">
        <f ca="1">IF(ISERROR($V60),"",OFFSET('Smelter Look-up'!$E$4,$V60-4,0))</f>
        <v>CID002290</v>
      </c>
      <c r="G60" s="217" t="str">
        <f ca="1">IF(C60=$X$4,"Enter smelter details",IF(ISERROR($V60),"",OFFSET('Smelter Look-up'!$F$4,$V60-4,0)))</f>
        <v>RMI</v>
      </c>
      <c r="H60" s="218" t="s">
        <v>15637</v>
      </c>
      <c r="I60" s="219" t="s">
        <v>2445</v>
      </c>
      <c r="J60" s="219" t="s">
        <v>4304</v>
      </c>
      <c r="K60" s="273"/>
      <c r="L60" s="273"/>
      <c r="M60" s="273"/>
      <c r="N60" s="273" t="s">
        <v>15638</v>
      </c>
      <c r="O60" s="273" t="s">
        <v>15639</v>
      </c>
      <c r="P60" s="220"/>
      <c r="Q60" s="274" t="s">
        <v>15513</v>
      </c>
      <c r="R60" s="217" t="str">
        <f ca="1">IF(ISERROR($V60),"",OFFSET('Smelter Look-up'!$C$4,$V60-4,0)&amp;"")</f>
        <v>SAFINA A.S.</v>
      </c>
      <c r="S60" s="225" t="str">
        <f t="shared" ca="1" si="6"/>
        <v>CZ</v>
      </c>
      <c r="T60" s="225" t="str">
        <f ca="1">IF(B60="","",IF(ISERROR(MATCH($J60,SorP!$B$1:$B$6230,0)),"",INDIRECT("'SorP'!$A$"&amp;MATCH($J60,SorP!$B$1:$B$6230,0))))</f>
        <v>CZ-20A</v>
      </c>
      <c r="U60" s="241"/>
      <c r="V60" s="275">
        <f>IF(C60="",NA(),MATCH($B60&amp;$C60,'Smelter Look-up'!$J:$J,0))</f>
        <v>206</v>
      </c>
      <c r="W60" s="276"/>
      <c r="X60" s="276">
        <f t="shared" si="7"/>
        <v>0</v>
      </c>
      <c r="Y60" s="276"/>
      <c r="Z60" s="276"/>
      <c r="AB60" s="278" t="str">
        <f t="shared" si="8"/>
        <v>GoldSafina a.s.</v>
      </c>
    </row>
    <row r="61" spans="1:28" s="277" customFormat="1" ht="37.799999999999997">
      <c r="A61" s="216" t="s">
        <v>2319</v>
      </c>
      <c r="B61" s="217" t="s">
        <v>1153</v>
      </c>
      <c r="C61" s="221" t="s">
        <v>2318</v>
      </c>
      <c r="D61" s="283" t="s">
        <v>2318</v>
      </c>
      <c r="E61" s="217" t="s">
        <v>1140</v>
      </c>
      <c r="F61" s="217" t="str">
        <f ca="1">IF(ISERROR($V61),"",OFFSET('Smelter Look-up'!$E$4,$V61-4,0))</f>
        <v>CID002282</v>
      </c>
      <c r="G61" s="217" t="str">
        <f ca="1">IF(C61=$X$4,"Enter smelter details",IF(ISERROR($V61),"",OFFSET('Smelter Look-up'!$F$4,$V61-4,0)))</f>
        <v>RMI</v>
      </c>
      <c r="H61" s="218" t="s">
        <v>15640</v>
      </c>
      <c r="I61" s="219" t="s">
        <v>2438</v>
      </c>
      <c r="J61" s="219" t="s">
        <v>2320</v>
      </c>
      <c r="K61" s="273"/>
      <c r="L61" s="273"/>
      <c r="M61" s="273"/>
      <c r="N61" s="273"/>
      <c r="O61" s="273" t="s">
        <v>15641</v>
      </c>
      <c r="P61" s="220"/>
      <c r="Q61" s="274"/>
      <c r="R61" s="217" t="str">
        <f ca="1">IF(ISERROR($V61),"",OFFSET('Smelter Look-up'!$C$4,$V61-4,0)&amp;"")</f>
        <v>Morris and Watson</v>
      </c>
      <c r="S61" s="225" t="str">
        <f t="shared" ca="1" si="6"/>
        <v>NZ</v>
      </c>
      <c r="T61" s="225" t="str">
        <f ca="1">IF(B61="","",IF(ISERROR(MATCH($J61,SorP!$B$1:$B$6230,0)),"",INDIRECT("'SorP'!$A$"&amp;MATCH($J61,SorP!$B$1:$B$6230,0))))</f>
        <v>NZ-AUK</v>
      </c>
      <c r="U61" s="241"/>
      <c r="V61" s="275">
        <f>IF(C61="",NA(),MATCH($B61&amp;$C61,'Smelter Look-up'!$J:$J,0))</f>
        <v>169</v>
      </c>
      <c r="W61" s="276"/>
      <c r="X61" s="276">
        <f t="shared" si="7"/>
        <v>0</v>
      </c>
      <c r="Y61" s="276"/>
      <c r="Z61" s="276"/>
      <c r="AB61" s="278" t="str">
        <f t="shared" si="8"/>
        <v>GoldMorris and Watson</v>
      </c>
    </row>
    <row r="62" spans="1:28" s="277" customFormat="1" ht="239.4">
      <c r="A62" s="216" t="s">
        <v>763</v>
      </c>
      <c r="B62" s="217" t="s">
        <v>1153</v>
      </c>
      <c r="C62" s="221" t="s">
        <v>2642</v>
      </c>
      <c r="D62" s="283" t="s">
        <v>2642</v>
      </c>
      <c r="E62" s="217" t="s">
        <v>1123</v>
      </c>
      <c r="F62" s="217" t="str">
        <f ca="1">IF(ISERROR($V62),"",OFFSET('Smelter Look-up'!$E$4,$V62-4,0))</f>
        <v>CID002243</v>
      </c>
      <c r="G62" s="217" t="str">
        <f ca="1">IF(C62=$X$4,"Enter smelter details",IF(ISERROR($V62),"",OFFSET('Smelter Look-up'!$F$4,$V62-4,0)))</f>
        <v>RMI</v>
      </c>
      <c r="H62" s="218" t="s">
        <v>15642</v>
      </c>
      <c r="I62" s="219" t="s">
        <v>1723</v>
      </c>
      <c r="J62" s="219" t="s">
        <v>13965</v>
      </c>
      <c r="K62" s="273"/>
      <c r="L62" s="273"/>
      <c r="M62" s="273"/>
      <c r="N62" s="273" t="s">
        <v>15538</v>
      </c>
      <c r="O62" s="273" t="s">
        <v>15643</v>
      </c>
      <c r="P62" s="220"/>
      <c r="Q62" s="274" t="s">
        <v>15513</v>
      </c>
      <c r="R62" s="217" t="str">
        <f ca="1">IF(ISERROR($V62),"",OFFSET('Smelter Look-up'!$C$4,$V62-4,0)&amp;"")</f>
        <v>Gold Refinery of Zijin Mining Group Co., Ltd.</v>
      </c>
      <c r="S62" s="225" t="str">
        <f t="shared" ca="1" si="6"/>
        <v>CN</v>
      </c>
      <c r="T62" s="225" t="str">
        <f ca="1">IF(B62="","",IF(ISERROR(MATCH($J62,SorP!$B$1:$B$6230,0)),"",INDIRECT("'SorP'!$A$"&amp;MATCH($J62,SorP!$B$1:$B$6230,0))))</f>
        <v>CN-FJ</v>
      </c>
      <c r="U62" s="241"/>
      <c r="V62" s="275">
        <f>IF(C62="",NA(),MATCH($B62&amp;$C62,'Smelter Look-up'!$J:$J,0))</f>
        <v>83</v>
      </c>
      <c r="W62" s="276"/>
      <c r="X62" s="276">
        <f t="shared" si="7"/>
        <v>0</v>
      </c>
      <c r="Y62" s="276"/>
      <c r="Z62" s="276"/>
      <c r="AB62" s="278" t="str">
        <f t="shared" si="8"/>
        <v>GoldGold Refinery of Zijin Mining Group Co., Ltd.</v>
      </c>
    </row>
    <row r="63" spans="1:28" s="277" customFormat="1" ht="226.8">
      <c r="A63" s="216" t="s">
        <v>762</v>
      </c>
      <c r="B63" s="217" t="s">
        <v>1153</v>
      </c>
      <c r="C63" s="221" t="s">
        <v>1348</v>
      </c>
      <c r="D63" s="283" t="s">
        <v>1348</v>
      </c>
      <c r="E63" s="217" t="s">
        <v>1123</v>
      </c>
      <c r="F63" s="217" t="str">
        <f ca="1">IF(ISERROR($V63),"",OFFSET('Smelter Look-up'!$E$4,$V63-4,0))</f>
        <v>CID002224</v>
      </c>
      <c r="G63" s="217" t="str">
        <f ca="1">IF(C63=$X$4,"Enter smelter details",IF(ISERROR($V63),"",OFFSET('Smelter Look-up'!$F$4,$V63-4,0)))</f>
        <v>RMI</v>
      </c>
      <c r="H63" s="218" t="s">
        <v>15644</v>
      </c>
      <c r="I63" s="219" t="s">
        <v>1720</v>
      </c>
      <c r="J63" s="219" t="s">
        <v>13968</v>
      </c>
      <c r="K63" s="273"/>
      <c r="L63" s="273"/>
      <c r="M63" s="273"/>
      <c r="N63" s="273" t="s">
        <v>15645</v>
      </c>
      <c r="O63" s="273" t="s">
        <v>15646</v>
      </c>
      <c r="P63" s="220"/>
      <c r="Q63" s="274" t="s">
        <v>15513</v>
      </c>
      <c r="R63" s="217" t="str">
        <f ca="1">IF(ISERROR($V63),"",OFFSET('Smelter Look-up'!$C$4,$V63-4,0)&amp;"")</f>
        <v>Zhongyuan Gold Smelter of Zhongjin Gold Corporation</v>
      </c>
      <c r="S63" s="225" t="str">
        <f t="shared" ca="1" si="6"/>
        <v>CN</v>
      </c>
      <c r="T63" s="225" t="str">
        <f ca="1">IF(B63="","",IF(ISERROR(MATCH($J63,SorP!$B$1:$B$6230,0)),"",INDIRECT("'SorP'!$A$"&amp;MATCH($J63,SorP!$B$1:$B$6230,0))))</f>
        <v>CN-HA</v>
      </c>
      <c r="U63" s="241"/>
      <c r="V63" s="275">
        <f>IF(C63="",NA(),MATCH($B63&amp;$C63,'Smelter Look-up'!$J:$J,0))</f>
        <v>290</v>
      </c>
      <c r="W63" s="276"/>
      <c r="X63" s="276">
        <f t="shared" si="7"/>
        <v>0</v>
      </c>
      <c r="Y63" s="276"/>
      <c r="Z63" s="276"/>
      <c r="AB63" s="278" t="str">
        <f t="shared" si="8"/>
        <v>GoldZhongyuan Gold Smelter of Zhongjin Gold Corporation</v>
      </c>
    </row>
    <row r="64" spans="1:28" s="277" customFormat="1" ht="113.4">
      <c r="A64" s="216" t="s">
        <v>760</v>
      </c>
      <c r="B64" s="217" t="s">
        <v>1153</v>
      </c>
      <c r="C64" s="221" t="s">
        <v>2272</v>
      </c>
      <c r="D64" s="283" t="s">
        <v>2272</v>
      </c>
      <c r="E64" s="217" t="s">
        <v>1131</v>
      </c>
      <c r="F64" s="217" t="str">
        <f ca="1">IF(ISERROR($V64),"",OFFSET('Smelter Look-up'!$E$4,$V64-4,0))</f>
        <v>CID002129</v>
      </c>
      <c r="G64" s="217" t="str">
        <f ca="1">IF(C64=$X$4,"Enter smelter details",IF(ISERROR($V64),"",OFFSET('Smelter Look-up'!$F$4,$V64-4,0)))</f>
        <v>RMI</v>
      </c>
      <c r="H64" s="218" t="s">
        <v>15647</v>
      </c>
      <c r="I64" s="219" t="s">
        <v>1719</v>
      </c>
      <c r="J64" s="219" t="s">
        <v>1697</v>
      </c>
      <c r="K64" s="273"/>
      <c r="L64" s="273"/>
      <c r="M64" s="273"/>
      <c r="N64" s="273" t="s">
        <v>15541</v>
      </c>
      <c r="O64" s="273" t="s">
        <v>15648</v>
      </c>
      <c r="P64" s="220"/>
      <c r="Q64" s="274" t="s">
        <v>15513</v>
      </c>
      <c r="R64" s="217" t="str">
        <f ca="1">IF(ISERROR($V64),"",OFFSET('Smelter Look-up'!$C$4,$V64-4,0)&amp;"")</f>
        <v>Yokohama Metal Co., Ltd.</v>
      </c>
      <c r="S64" s="225" t="str">
        <f t="shared" ca="1" si="6"/>
        <v>JP</v>
      </c>
      <c r="T64" s="225" t="str">
        <f ca="1">IF(B64="","",IF(ISERROR(MATCH($J64,SorP!$B$1:$B$6230,0)),"",INDIRECT("'SorP'!$A$"&amp;MATCH($J64,SorP!$B$1:$B$6230,0))))</f>
        <v>JP-14</v>
      </c>
      <c r="U64" s="241"/>
      <c r="V64" s="275">
        <f>IF(C64="",NA(),MATCH($B64&amp;$C64,'Smelter Look-up'!$J:$J,0))</f>
        <v>280</v>
      </c>
      <c r="W64" s="276"/>
      <c r="X64" s="276">
        <f t="shared" si="7"/>
        <v>0</v>
      </c>
      <c r="Y64" s="276"/>
      <c r="Z64" s="276"/>
      <c r="AB64" s="278" t="str">
        <f t="shared" si="8"/>
        <v>GoldYokohama Metal Co., Ltd.</v>
      </c>
    </row>
    <row r="65" spans="1:28" s="277" customFormat="1" ht="201.6">
      <c r="A65" s="216" t="s">
        <v>759</v>
      </c>
      <c r="B65" s="217" t="s">
        <v>1153</v>
      </c>
      <c r="C65" s="221" t="s">
        <v>13261</v>
      </c>
      <c r="D65" s="283" t="s">
        <v>13261</v>
      </c>
      <c r="E65" s="217" t="s">
        <v>1131</v>
      </c>
      <c r="F65" s="217" t="str">
        <f ca="1">IF(ISERROR($V65),"",OFFSET('Smelter Look-up'!$E$4,$V65-4,0))</f>
        <v>CID002100</v>
      </c>
      <c r="G65" s="217" t="str">
        <f ca="1">IF(C65=$X$4,"Enter smelter details",IF(ISERROR($V65),"",OFFSET('Smelter Look-up'!$F$4,$V65-4,0)))</f>
        <v>RMI</v>
      </c>
      <c r="H65" s="218" t="s">
        <v>15649</v>
      </c>
      <c r="I65" s="219" t="s">
        <v>13277</v>
      </c>
      <c r="J65" s="219" t="s">
        <v>6848</v>
      </c>
      <c r="K65" s="273"/>
      <c r="L65" s="273"/>
      <c r="M65" s="273"/>
      <c r="N65" s="273" t="s">
        <v>15650</v>
      </c>
      <c r="O65" s="273" t="s">
        <v>15651</v>
      </c>
      <c r="P65" s="220"/>
      <c r="Q65" s="274" t="s">
        <v>15513</v>
      </c>
      <c r="R65" s="217" t="str">
        <f ca="1">IF(ISERROR($V65),"",OFFSET('Smelter Look-up'!$C$4,$V65-4,0)&amp;"")</f>
        <v>Yamakin Co., Ltd.</v>
      </c>
      <c r="S65" s="225" t="str">
        <f t="shared" ca="1" si="6"/>
        <v>JP</v>
      </c>
      <c r="T65" s="225" t="str">
        <f ca="1">IF(B65="","",IF(ISERROR(MATCH($J65,SorP!$B$1:$B$6230,0)),"",INDIRECT("'SorP'!$A$"&amp;MATCH($J65,SorP!$B$1:$B$6230,0))))</f>
        <v>JP-39</v>
      </c>
      <c r="U65" s="241"/>
      <c r="V65" s="275">
        <f>IF(C65="",NA(),MATCH($B65&amp;$C65,'Smelter Look-up'!$J:$J,0))</f>
        <v>275</v>
      </c>
      <c r="W65" s="276"/>
      <c r="X65" s="276">
        <f t="shared" si="7"/>
        <v>0</v>
      </c>
      <c r="Y65" s="276"/>
      <c r="Z65" s="276"/>
      <c r="AB65" s="278" t="str">
        <f t="shared" si="8"/>
        <v>GoldYamakin Co., Ltd.</v>
      </c>
    </row>
    <row r="66" spans="1:28" s="277" customFormat="1" ht="214.2">
      <c r="A66" s="216" t="s">
        <v>758</v>
      </c>
      <c r="B66" s="217" t="s">
        <v>1153</v>
      </c>
      <c r="C66" s="221" t="s">
        <v>2634</v>
      </c>
      <c r="D66" s="283" t="s">
        <v>2634</v>
      </c>
      <c r="E66" s="217" t="s">
        <v>1116</v>
      </c>
      <c r="F66" s="217" t="str">
        <f ca="1">IF(ISERROR($V66),"",OFFSET('Smelter Look-up'!$E$4,$V66-4,0))</f>
        <v>CID002030</v>
      </c>
      <c r="G66" s="217" t="str">
        <f ca="1">IF(C66=$X$4,"Enter smelter details",IF(ISERROR($V66),"",OFFSET('Smelter Look-up'!$F$4,$V66-4,0)))</f>
        <v>RMI</v>
      </c>
      <c r="H66" s="218" t="s">
        <v>15652</v>
      </c>
      <c r="I66" s="219" t="s">
        <v>1713</v>
      </c>
      <c r="J66" s="219" t="s">
        <v>1714</v>
      </c>
      <c r="K66" s="273"/>
      <c r="L66" s="273"/>
      <c r="M66" s="273"/>
      <c r="N66" s="273" t="s">
        <v>15653</v>
      </c>
      <c r="O66" s="273" t="s">
        <v>15654</v>
      </c>
      <c r="P66" s="220"/>
      <c r="Q66" s="274" t="s">
        <v>15513</v>
      </c>
      <c r="R66" s="217" t="str">
        <f ca="1">IF(ISERROR($V66),"",OFFSET('Smelter Look-up'!$C$4,$V66-4,0)&amp;"")</f>
        <v>Western Australian Mint (T/a The Perth Mint)</v>
      </c>
      <c r="S66" s="225" t="str">
        <f t="shared" ca="1" si="6"/>
        <v>AU</v>
      </c>
      <c r="T66" s="225" t="str">
        <f ca="1">IF(B66="","",IF(ISERROR(MATCH($J66,SorP!$B$1:$B$6230,0)),"",INDIRECT("'SorP'!$A$"&amp;MATCH($J66,SorP!$B$1:$B$6230,0))))</f>
        <v>AU-WA</v>
      </c>
      <c r="U66" s="241"/>
      <c r="V66" s="275">
        <f>IF(C66="",NA(),MATCH($B66&amp;$C66,'Smelter Look-up'!$J:$J,0))</f>
        <v>270</v>
      </c>
      <c r="W66" s="276"/>
      <c r="X66" s="276">
        <f t="shared" si="7"/>
        <v>0</v>
      </c>
      <c r="Y66" s="276"/>
      <c r="Z66" s="276"/>
      <c r="AB66" s="278" t="str">
        <f t="shared" si="8"/>
        <v>GoldWestern Australian Mint (T/a The Perth Mint)</v>
      </c>
    </row>
    <row r="67" spans="1:28" s="277" customFormat="1" ht="214.2">
      <c r="A67" s="216" t="s">
        <v>757</v>
      </c>
      <c r="B67" s="217" t="s">
        <v>1153</v>
      </c>
      <c r="C67" s="221" t="s">
        <v>2460</v>
      </c>
      <c r="D67" s="283" t="s">
        <v>2460</v>
      </c>
      <c r="E67" s="217" t="s">
        <v>1121</v>
      </c>
      <c r="F67" s="217" t="str">
        <f ca="1">IF(ISERROR($V67),"",OFFSET('Smelter Look-up'!$E$4,$V67-4,0))</f>
        <v>CID002003</v>
      </c>
      <c r="G67" s="217" t="str">
        <f ca="1">IF(C67=$X$4,"Enter smelter details",IF(ISERROR($V67),"",OFFSET('Smelter Look-up'!$F$4,$V67-4,0)))</f>
        <v>RMI</v>
      </c>
      <c r="H67" s="218" t="s">
        <v>15655</v>
      </c>
      <c r="I67" s="219" t="s">
        <v>1712</v>
      </c>
      <c r="J67" s="219" t="s">
        <v>1579</v>
      </c>
      <c r="K67" s="273"/>
      <c r="L67" s="273"/>
      <c r="M67" s="273"/>
      <c r="N67" s="273" t="s">
        <v>15656</v>
      </c>
      <c r="O67" s="273" t="s">
        <v>15657</v>
      </c>
      <c r="P67" s="220"/>
      <c r="Q67" s="274" t="s">
        <v>15513</v>
      </c>
      <c r="R67" s="217" t="str">
        <f ca="1">IF(ISERROR($V67),"",OFFSET('Smelter Look-up'!$C$4,$V67-4,0)&amp;"")</f>
        <v>Valcambi S.A.</v>
      </c>
      <c r="S67" s="225" t="str">
        <f t="shared" ca="1" si="6"/>
        <v>CH</v>
      </c>
      <c r="T67" s="225" t="str">
        <f ca="1">IF(B67="","",IF(ISERROR(MATCH($J67,SorP!$B$1:$B$6230,0)),"",INDIRECT("'SorP'!$A$"&amp;MATCH($J67,SorP!$B$1:$B$6230,0))))</f>
        <v>CH-TI</v>
      </c>
      <c r="U67" s="241"/>
      <c r="V67" s="275">
        <f>IF(C67="",NA(),MATCH($B67&amp;$C67,'Smelter Look-up'!$J:$J,0))</f>
        <v>269</v>
      </c>
      <c r="W67" s="276"/>
      <c r="X67" s="276">
        <f t="shared" si="7"/>
        <v>0</v>
      </c>
      <c r="Y67" s="276"/>
      <c r="Z67" s="276"/>
      <c r="AB67" s="278" t="str">
        <f t="shared" si="8"/>
        <v>GoldValcambi S.A.</v>
      </c>
    </row>
    <row r="68" spans="1:28" s="277" customFormat="1" ht="214.2">
      <c r="A68" s="216" t="s">
        <v>756</v>
      </c>
      <c r="B68" s="217" t="s">
        <v>1153</v>
      </c>
      <c r="C68" s="221" t="s">
        <v>843</v>
      </c>
      <c r="D68" s="283" t="s">
        <v>843</v>
      </c>
      <c r="E68" s="217" t="s">
        <v>2576</v>
      </c>
      <c r="F68" s="217" t="str">
        <f ca="1">IF(ISERROR($V68),"",OFFSET('Smelter Look-up'!$E$4,$V68-4,0))</f>
        <v>CID001993</v>
      </c>
      <c r="G68" s="217" t="str">
        <f ca="1">IF(C68=$X$4,"Enter smelter details",IF(ISERROR($V68),"",OFFSET('Smelter Look-up'!$F$4,$V68-4,0)))</f>
        <v>RMI</v>
      </c>
      <c r="H68" s="218" t="s">
        <v>15658</v>
      </c>
      <c r="I68" s="219" t="s">
        <v>1711</v>
      </c>
      <c r="J68" s="219" t="s">
        <v>1647</v>
      </c>
      <c r="K68" s="273"/>
      <c r="L68" s="273"/>
      <c r="M68" s="273"/>
      <c r="N68" s="273" t="s">
        <v>15659</v>
      </c>
      <c r="O68" s="273" t="s">
        <v>15660</v>
      </c>
      <c r="P68" s="220"/>
      <c r="Q68" s="274" t="s">
        <v>15513</v>
      </c>
      <c r="R68" s="217" t="str">
        <f ca="1">IF(ISERROR($V68),"",OFFSET('Smelter Look-up'!$C$4,$V68-4,0)&amp;"")</f>
        <v>United Precious Metal Refining, Inc.</v>
      </c>
      <c r="S68" s="225" t="str">
        <f t="shared" ca="1" si="6"/>
        <v>US</v>
      </c>
      <c r="T68" s="225" t="str">
        <f ca="1">IF(B68="","",IF(ISERROR(MATCH($J68,SorP!$B$1:$B$6230,0)),"",INDIRECT("'SorP'!$A$"&amp;MATCH($J68,SorP!$B$1:$B$6230,0))))</f>
        <v>US-NY</v>
      </c>
      <c r="U68" s="241"/>
      <c r="V68" s="275">
        <f>IF(C68="",NA(),MATCH($B68&amp;$C68,'Smelter Look-up'!$J:$J,0))</f>
        <v>268</v>
      </c>
      <c r="W68" s="276"/>
      <c r="X68" s="276">
        <f t="shared" si="7"/>
        <v>0</v>
      </c>
      <c r="Y68" s="276"/>
      <c r="Z68" s="276"/>
      <c r="AB68" s="278" t="str">
        <f t="shared" si="8"/>
        <v>GoldUnited Precious Metal Refining, Inc.</v>
      </c>
    </row>
    <row r="69" spans="1:28" s="277" customFormat="1" ht="138.6">
      <c r="A69" s="216" t="s">
        <v>755</v>
      </c>
      <c r="B69" s="217" t="s">
        <v>1153</v>
      </c>
      <c r="C69" s="221" t="s">
        <v>2458</v>
      </c>
      <c r="D69" s="283" t="s">
        <v>2458</v>
      </c>
      <c r="E69" s="217" t="s">
        <v>1118</v>
      </c>
      <c r="F69" s="217" t="str">
        <f ca="1">IF(ISERROR($V69),"",OFFSET('Smelter Look-up'!$E$4,$V69-4,0))</f>
        <v>CID001980</v>
      </c>
      <c r="G69" s="217" t="str">
        <f ca="1">IF(C69=$X$4,"Enter smelter details",IF(ISERROR($V69),"",OFFSET('Smelter Look-up'!$F$4,$V69-4,0)))</f>
        <v>RMI</v>
      </c>
      <c r="H69" s="218" t="s">
        <v>15661</v>
      </c>
      <c r="I69" s="219" t="s">
        <v>1709</v>
      </c>
      <c r="J69" s="219" t="s">
        <v>3305</v>
      </c>
      <c r="K69" s="273"/>
      <c r="L69" s="273"/>
      <c r="M69" s="273"/>
      <c r="N69" s="273" t="s">
        <v>15662</v>
      </c>
      <c r="O69" s="273" t="s">
        <v>15663</v>
      </c>
      <c r="P69" s="220"/>
      <c r="Q69" s="274" t="s">
        <v>15513</v>
      </c>
      <c r="R69" s="217" t="str">
        <f ca="1">IF(ISERROR($V69),"",OFFSET('Smelter Look-up'!$C$4,$V69-4,0)&amp;"")</f>
        <v>Umicore S.A. Business Unit Precious Metals Refining</v>
      </c>
      <c r="S69" s="225" t="str">
        <f t="shared" ref="S69" ca="1" si="9">IF(B69="","",IF(ISERROR(MATCH($E69,CL,0)),"Unknown",INDIRECT("'C'!$A$"&amp;MATCH($E69,CL,0)+1)))</f>
        <v>BE</v>
      </c>
      <c r="T69" s="225" t="str">
        <f ca="1">IF(B69="","",IF(ISERROR(MATCH($J69,SorP!$B$1:$B$6230,0)),"",INDIRECT("'SorP'!$A$"&amp;MATCH($J69,SorP!$B$1:$B$6230,0))))</f>
        <v>BE-VAN</v>
      </c>
      <c r="U69" s="241"/>
      <c r="V69" s="275">
        <f>IF(C69="",NA(),MATCH($B69&amp;$C69,'Smelter Look-up'!$J:$J,0))</f>
        <v>267</v>
      </c>
      <c r="W69" s="276"/>
      <c r="X69" s="276">
        <f t="shared" ref="X69" si="10">IF(AND(C69="Smelter not listed",OR(LEN(D69)=0,LEN(E69)=0)),1,0)</f>
        <v>0</v>
      </c>
      <c r="Y69" s="276"/>
      <c r="Z69" s="276"/>
      <c r="AB69" s="278" t="str">
        <f t="shared" ref="AB69" si="11">B69&amp;C69</f>
        <v>GoldUmicore S.A. Business Unit Precious Metals Refining</v>
      </c>
    </row>
    <row r="70" spans="1:28" s="277" customFormat="1" ht="138.6">
      <c r="A70" s="216" t="s">
        <v>753</v>
      </c>
      <c r="B70" s="217" t="s">
        <v>1153</v>
      </c>
      <c r="C70" s="221" t="s">
        <v>626</v>
      </c>
      <c r="D70" s="283" t="s">
        <v>626</v>
      </c>
      <c r="E70" s="217" t="s">
        <v>1134</v>
      </c>
      <c r="F70" s="217" t="str">
        <f ca="1">IF(ISERROR($V70),"",OFFSET('Smelter Look-up'!$E$4,$V70-4,0))</f>
        <v>CID001955</v>
      </c>
      <c r="G70" s="217" t="str">
        <f ca="1">IF(C70=$X$4,"Enter smelter details",IF(ISERROR($V70),"",OFFSET('Smelter Look-up'!$F$4,$V70-4,0)))</f>
        <v>RMI</v>
      </c>
      <c r="H70" s="218" t="s">
        <v>15664</v>
      </c>
      <c r="I70" s="219" t="s">
        <v>1706</v>
      </c>
      <c r="J70" s="219" t="s">
        <v>13200</v>
      </c>
      <c r="K70" s="273"/>
      <c r="L70" s="273"/>
      <c r="M70" s="273"/>
      <c r="N70" s="273" t="s">
        <v>15511</v>
      </c>
      <c r="O70" s="273" t="s">
        <v>15665</v>
      </c>
      <c r="P70" s="220"/>
      <c r="Q70" s="274" t="s">
        <v>15513</v>
      </c>
      <c r="R70" s="217" t="str">
        <f ca="1">IF(ISERROR($V70),"",OFFSET('Smelter Look-up'!$C$4,$V70-4,0)&amp;"")</f>
        <v>Torecom</v>
      </c>
      <c r="S70" s="225" t="str">
        <f t="shared" ref="S70:S101" ca="1" si="12">IF(B70="","",IF(ISERROR(MATCH($E70,CL,0)),"Unknown",INDIRECT("'C'!$A$"&amp;MATCH($E70,CL,0)+1)))</f>
        <v>KR</v>
      </c>
      <c r="T70" s="225" t="str">
        <f ca="1">IF(B70="","",IF(ISERROR(MATCH($J70,SorP!$B$1:$B$6230,0)),"",INDIRECT("'SorP'!$A$"&amp;MATCH($J70,SorP!$B$1:$B$6230,0))))</f>
        <v>KR-44</v>
      </c>
      <c r="U70" s="241"/>
      <c r="V70" s="275">
        <f>IF(C70="",NA(),MATCH($B70&amp;$C70,'Smelter Look-up'!$J:$J,0))</f>
        <v>262</v>
      </c>
      <c r="W70" s="276"/>
      <c r="X70" s="276">
        <f t="shared" ref="X70:X101" si="13">IF(AND(C70="Smelter not listed",OR(LEN(D70)=0,LEN(E70)=0)),1,0)</f>
        <v>0</v>
      </c>
      <c r="Y70" s="276"/>
      <c r="Z70" s="276"/>
      <c r="AB70" s="278" t="str">
        <f t="shared" ref="AB70:AB101" si="14">B70&amp;C70</f>
        <v>GoldTorecom</v>
      </c>
    </row>
    <row r="71" spans="1:28" s="277" customFormat="1" ht="88.2">
      <c r="A71" s="216" t="s">
        <v>752</v>
      </c>
      <c r="B71" s="217" t="s">
        <v>1153</v>
      </c>
      <c r="C71" s="221" t="s">
        <v>2306</v>
      </c>
      <c r="D71" s="283" t="s">
        <v>2306</v>
      </c>
      <c r="E71" s="217" t="s">
        <v>1123</v>
      </c>
      <c r="F71" s="217" t="str">
        <f ca="1">IF(ISERROR($V71),"",OFFSET('Smelter Look-up'!$E$4,$V71-4,0))</f>
        <v>CID001947</v>
      </c>
      <c r="G71" s="217" t="str">
        <f ca="1">IF(C71=$X$4,"Enter smelter details",IF(ISERROR($V71),"",OFFSET('Smelter Look-up'!$F$4,$V71-4,0)))</f>
        <v>RMI</v>
      </c>
      <c r="H71" s="218" t="s">
        <v>15666</v>
      </c>
      <c r="I71" s="219" t="s">
        <v>1703</v>
      </c>
      <c r="J71" s="219" t="s">
        <v>13964</v>
      </c>
      <c r="K71" s="273"/>
      <c r="L71" s="273"/>
      <c r="M71" s="273"/>
      <c r="N71" s="273"/>
      <c r="O71" s="273" t="s">
        <v>15667</v>
      </c>
      <c r="P71" s="220"/>
      <c r="Q71" s="274"/>
      <c r="R71" s="217" t="str">
        <f ca="1">IF(ISERROR($V71),"",OFFSET('Smelter Look-up'!$C$4,$V71-4,0)&amp;"")</f>
        <v>Tongling Nonferrous Metals Group Co., Ltd.</v>
      </c>
      <c r="S71" s="225" t="str">
        <f t="shared" ca="1" si="12"/>
        <v>CN</v>
      </c>
      <c r="T71" s="225" t="str">
        <f ca="1">IF(B71="","",IF(ISERROR(MATCH($J71,SorP!$B$1:$B$6230,0)),"",INDIRECT("'SorP'!$A$"&amp;MATCH($J71,SorP!$B$1:$B$6230,0))))</f>
        <v>CN-AH</v>
      </c>
      <c r="U71" s="241"/>
      <c r="V71" s="275">
        <f>IF(C71="",NA(),MATCH($B71&amp;$C71,'Smelter Look-up'!$J:$J,0))</f>
        <v>258</v>
      </c>
      <c r="W71" s="276"/>
      <c r="X71" s="276">
        <f t="shared" si="13"/>
        <v>0</v>
      </c>
      <c r="Y71" s="276"/>
      <c r="Z71" s="276"/>
      <c r="AB71" s="278" t="str">
        <f t="shared" si="14"/>
        <v>GoldTongling Nonferrous Metals Group Co., Ltd.</v>
      </c>
    </row>
    <row r="72" spans="1:28" s="277" customFormat="1" ht="189">
      <c r="A72" s="216" t="s">
        <v>751</v>
      </c>
      <c r="B72" s="217" t="s">
        <v>1153</v>
      </c>
      <c r="C72" s="221" t="s">
        <v>2269</v>
      </c>
      <c r="D72" s="283" t="s">
        <v>2269</v>
      </c>
      <c r="E72" s="217" t="s">
        <v>1131</v>
      </c>
      <c r="F72" s="217" t="str">
        <f ca="1">IF(ISERROR($V72),"",OFFSET('Smelter Look-up'!$E$4,$V72-4,0))</f>
        <v>CID001938</v>
      </c>
      <c r="G72" s="217" t="str">
        <f ca="1">IF(C72=$X$4,"Enter smelter details",IF(ISERROR($V72),"",OFFSET('Smelter Look-up'!$F$4,$V72-4,0)))</f>
        <v>RMI</v>
      </c>
      <c r="H72" s="218" t="s">
        <v>15668</v>
      </c>
      <c r="I72" s="219" t="s">
        <v>1702</v>
      </c>
      <c r="J72" s="219" t="s">
        <v>1610</v>
      </c>
      <c r="K72" s="273"/>
      <c r="L72" s="273"/>
      <c r="M72" s="273"/>
      <c r="N72" s="273" t="s">
        <v>15669</v>
      </c>
      <c r="O72" s="273" t="s">
        <v>15670</v>
      </c>
      <c r="P72" s="220"/>
      <c r="Q72" s="274" t="s">
        <v>15513</v>
      </c>
      <c r="R72" s="217" t="str">
        <f ca="1">IF(ISERROR($V72),"",OFFSET('Smelter Look-up'!$C$4,$V72-4,0)&amp;"")</f>
        <v>Tokuriki Honten Co., Ltd.</v>
      </c>
      <c r="S72" s="225" t="str">
        <f t="shared" ca="1" si="12"/>
        <v>JP</v>
      </c>
      <c r="T72" s="225" t="str">
        <f ca="1">IF(B72="","",IF(ISERROR(MATCH($J72,SorP!$B$1:$B$6230,0)),"",INDIRECT("'SorP'!$A$"&amp;MATCH($J72,SorP!$B$1:$B$6230,0))))</f>
        <v>JP-11</v>
      </c>
      <c r="U72" s="241"/>
      <c r="V72" s="275">
        <f>IF(C72="",NA(),MATCH($B72&amp;$C72,'Smelter Look-up'!$J:$J,0))</f>
        <v>257</v>
      </c>
      <c r="W72" s="276"/>
      <c r="X72" s="276">
        <f t="shared" si="13"/>
        <v>0</v>
      </c>
      <c r="Y72" s="276"/>
      <c r="Z72" s="276"/>
      <c r="AB72" s="278" t="str">
        <f t="shared" si="14"/>
        <v>GoldTokuriki Honten Co., Ltd.</v>
      </c>
    </row>
    <row r="73" spans="1:28" s="277" customFormat="1" ht="189">
      <c r="A73" s="216" t="s">
        <v>750</v>
      </c>
      <c r="B73" s="217" t="s">
        <v>1153</v>
      </c>
      <c r="C73" s="221" t="s">
        <v>2268</v>
      </c>
      <c r="D73" s="283" t="s">
        <v>2268</v>
      </c>
      <c r="E73" s="217" t="s">
        <v>1123</v>
      </c>
      <c r="F73" s="217" t="str">
        <f ca="1">IF(ISERROR($V73),"",OFFSET('Smelter Look-up'!$E$4,$V73-4,0))</f>
        <v>CID001916</v>
      </c>
      <c r="G73" s="217" t="str">
        <f ca="1">IF(C73=$X$4,"Enter smelter details",IF(ISERROR($V73),"",OFFSET('Smelter Look-up'!$F$4,$V73-4,0)))</f>
        <v>RMI</v>
      </c>
      <c r="H73" s="218" t="s">
        <v>15671</v>
      </c>
      <c r="I73" s="219" t="s">
        <v>1687</v>
      </c>
      <c r="J73" s="219" t="s">
        <v>13967</v>
      </c>
      <c r="K73" s="273"/>
      <c r="L73" s="273"/>
      <c r="M73" s="273"/>
      <c r="N73" s="273" t="s">
        <v>15672</v>
      </c>
      <c r="O73" s="273" t="s">
        <v>15673</v>
      </c>
      <c r="P73" s="220"/>
      <c r="Q73" s="274" t="s">
        <v>15513</v>
      </c>
      <c r="R73" s="217" t="str">
        <f ca="1">IF(ISERROR($V73),"",OFFSET('Smelter Look-up'!$C$4,$V73-4,0)&amp;"")</f>
        <v>The Refinery of Shandong Gold Mining Co., Ltd.</v>
      </c>
      <c r="S73" s="225" t="str">
        <f t="shared" ca="1" si="12"/>
        <v>CN</v>
      </c>
      <c r="T73" s="225" t="str">
        <f ca="1">IF(B73="","",IF(ISERROR(MATCH($J73,SorP!$B$1:$B$6230,0)),"",INDIRECT("'SorP'!$A$"&amp;MATCH($J73,SorP!$B$1:$B$6230,0))))</f>
        <v>CN-SD</v>
      </c>
      <c r="U73" s="241"/>
      <c r="V73" s="275">
        <f>IF(C73="",NA(),MATCH($B73&amp;$C73,'Smelter Look-up'!$J:$J,0))</f>
        <v>256</v>
      </c>
      <c r="W73" s="276"/>
      <c r="X73" s="276">
        <f t="shared" si="13"/>
        <v>0</v>
      </c>
      <c r="Y73" s="276"/>
      <c r="Z73" s="276"/>
      <c r="AB73" s="278" t="str">
        <f t="shared" si="14"/>
        <v>GoldThe Refinery of Shandong Gold Mining Co., Ltd.</v>
      </c>
    </row>
    <row r="74" spans="1:28" s="277" customFormat="1" ht="75.599999999999994">
      <c r="A74" s="216" t="s">
        <v>749</v>
      </c>
      <c r="B74" s="217" t="s">
        <v>1153</v>
      </c>
      <c r="C74" s="221" t="s">
        <v>2328</v>
      </c>
      <c r="D74" s="283" t="s">
        <v>2328</v>
      </c>
      <c r="E74" s="217" t="s">
        <v>1123</v>
      </c>
      <c r="F74" s="217" t="str">
        <f ca="1">IF(ISERROR($V74),"",OFFSET('Smelter Look-up'!$E$4,$V74-4,0))</f>
        <v>CID001909</v>
      </c>
      <c r="G74" s="217" t="str">
        <f ca="1">IF(C74=$X$4,"Enter smelter details",IF(ISERROR($V74),"",OFFSET('Smelter Look-up'!$F$4,$V74-4,0)))</f>
        <v>RMI</v>
      </c>
      <c r="H74" s="218" t="s">
        <v>15674</v>
      </c>
      <c r="I74" s="219" t="s">
        <v>1691</v>
      </c>
      <c r="J74" s="219" t="s">
        <v>13973</v>
      </c>
      <c r="K74" s="273"/>
      <c r="L74" s="273"/>
      <c r="M74" s="273"/>
      <c r="N74" s="273"/>
      <c r="O74" s="273" t="s">
        <v>15675</v>
      </c>
      <c r="P74" s="220"/>
      <c r="Q74" s="274" t="s">
        <v>15513</v>
      </c>
      <c r="R74" s="217" t="str">
        <f ca="1">IF(ISERROR($V74),"",OFFSET('Smelter Look-up'!$C$4,$V74-4,0)&amp;"")</f>
        <v>Great Wall Precious Metals Co., Ltd. of CBPM</v>
      </c>
      <c r="S74" s="225" t="str">
        <f t="shared" ca="1" si="12"/>
        <v>CN</v>
      </c>
      <c r="T74" s="225" t="str">
        <f ca="1">IF(B74="","",IF(ISERROR(MATCH($J74,SorP!$B$1:$B$6230,0)),"",INDIRECT("'SorP'!$A$"&amp;MATCH($J74,SorP!$B$1:$B$6230,0))))</f>
        <v>CN-SC</v>
      </c>
      <c r="U74" s="241"/>
      <c r="V74" s="275">
        <f>IF(C74="",NA(),MATCH($B74&amp;$C74,'Smelter Look-up'!$J:$J,0))</f>
        <v>85</v>
      </c>
      <c r="W74" s="276"/>
      <c r="X74" s="276">
        <f t="shared" si="13"/>
        <v>0</v>
      </c>
      <c r="Y74" s="276"/>
      <c r="Z74" s="276"/>
      <c r="AB74" s="278" t="str">
        <f t="shared" si="14"/>
        <v>GoldGreat Wall Precious Metals Co., Ltd. of CBPM</v>
      </c>
    </row>
    <row r="75" spans="1:28" s="277" customFormat="1" ht="302.39999999999998">
      <c r="A75" s="216" t="s">
        <v>748</v>
      </c>
      <c r="B75" s="217" t="s">
        <v>1153</v>
      </c>
      <c r="C75" s="221" t="s">
        <v>1256</v>
      </c>
      <c r="D75" s="283" t="s">
        <v>1256</v>
      </c>
      <c r="E75" s="217" t="s">
        <v>1131</v>
      </c>
      <c r="F75" s="217" t="str">
        <f ca="1">IF(ISERROR($V75),"",OFFSET('Smelter Look-up'!$E$4,$V75-4,0))</f>
        <v>CID001875</v>
      </c>
      <c r="G75" s="217" t="str">
        <f ca="1">IF(C75=$X$4,"Enter smelter details",IF(ISERROR($V75),"",OFFSET('Smelter Look-up'!$F$4,$V75-4,0)))</f>
        <v>RMI</v>
      </c>
      <c r="H75" s="218" t="s">
        <v>15676</v>
      </c>
      <c r="I75" s="219" t="s">
        <v>1696</v>
      </c>
      <c r="J75" s="219" t="s">
        <v>1697</v>
      </c>
      <c r="K75" s="273"/>
      <c r="L75" s="273"/>
      <c r="M75" s="273"/>
      <c r="N75" s="273" t="s">
        <v>15677</v>
      </c>
      <c r="O75" s="273" t="s">
        <v>15678</v>
      </c>
      <c r="P75" s="220"/>
      <c r="Q75" s="274" t="s">
        <v>15513</v>
      </c>
      <c r="R75" s="217" t="str">
        <f ca="1">IF(ISERROR($V75),"",OFFSET('Smelter Look-up'!$C$4,$V75-4,0)&amp;"")</f>
        <v>Tanaka Kikinzoku Kogyo K.K.</v>
      </c>
      <c r="S75" s="225" t="str">
        <f t="shared" ca="1" si="12"/>
        <v>JP</v>
      </c>
      <c r="T75" s="225" t="str">
        <f ca="1">IF(B75="","",IF(ISERROR(MATCH($J75,SorP!$B$1:$B$6230,0)),"",INDIRECT("'SorP'!$A$"&amp;MATCH($J75,SorP!$B$1:$B$6230,0))))</f>
        <v>JP-14</v>
      </c>
      <c r="U75" s="241"/>
      <c r="V75" s="275">
        <f>IF(C75="",NA(),MATCH($B75&amp;$C75,'Smelter Look-up'!$J:$J,0))</f>
        <v>252</v>
      </c>
      <c r="W75" s="276"/>
      <c r="X75" s="276">
        <f t="shared" si="13"/>
        <v>0</v>
      </c>
      <c r="Y75" s="276"/>
      <c r="Z75" s="276"/>
      <c r="AB75" s="278" t="str">
        <f t="shared" si="14"/>
        <v>GoldTanaka Kikinzoku Kogyo K.K.</v>
      </c>
    </row>
    <row r="76" spans="1:28" s="277" customFormat="1" ht="226.8">
      <c r="A76" s="216" t="s">
        <v>747</v>
      </c>
      <c r="B76" s="217" t="s">
        <v>1153</v>
      </c>
      <c r="C76" s="221" t="s">
        <v>60</v>
      </c>
      <c r="D76" s="283" t="s">
        <v>60</v>
      </c>
      <c r="E76" s="217" t="s">
        <v>1131</v>
      </c>
      <c r="F76" s="217" t="str">
        <f ca="1">IF(ISERROR($V76),"",OFFSET('Smelter Look-up'!$E$4,$V76-4,0))</f>
        <v>CID001798</v>
      </c>
      <c r="G76" s="217" t="str">
        <f ca="1">IF(C76=$X$4,"Enter smelter details",IF(ISERROR($V76),"",OFFSET('Smelter Look-up'!$F$4,$V76-4,0)))</f>
        <v>RMI</v>
      </c>
      <c r="H76" s="218" t="s">
        <v>15679</v>
      </c>
      <c r="I76" s="219" t="s">
        <v>1694</v>
      </c>
      <c r="J76" s="219" t="s">
        <v>15680</v>
      </c>
      <c r="K76" s="273"/>
      <c r="L76" s="273"/>
      <c r="M76" s="273"/>
      <c r="N76" s="273" t="s">
        <v>15681</v>
      </c>
      <c r="O76" s="273" t="s">
        <v>15682</v>
      </c>
      <c r="P76" s="220"/>
      <c r="Q76" s="274" t="s">
        <v>15513</v>
      </c>
      <c r="R76" s="217" t="str">
        <f ca="1">IF(ISERROR($V76),"",OFFSET('Smelter Look-up'!$C$4,$V76-4,0)&amp;"")</f>
        <v>Sumitomo Metal Mining Co., Ltd.</v>
      </c>
      <c r="S76" s="225" t="str">
        <f t="shared" ca="1" si="12"/>
        <v>JP</v>
      </c>
      <c r="T76" s="225" t="str">
        <f ca="1">IF(B76="","",IF(ISERROR(MATCH($J76,SorP!$B$1:$B$6230,0)),"",INDIRECT("'SorP'!$A$"&amp;MATCH($J76,SorP!$B$1:$B$6230,0))))</f>
        <v/>
      </c>
      <c r="U76" s="241"/>
      <c r="V76" s="275">
        <f>IF(C76="",NA(),MATCH($B76&amp;$C76,'Smelter Look-up'!$J:$J,0))</f>
        <v>240</v>
      </c>
      <c r="W76" s="276"/>
      <c r="X76" s="276">
        <f t="shared" si="13"/>
        <v>0</v>
      </c>
      <c r="Y76" s="276"/>
      <c r="Z76" s="276"/>
      <c r="AB76" s="278" t="str">
        <f t="shared" si="14"/>
        <v>GoldSumitomo Metal Mining Co., Ltd.</v>
      </c>
    </row>
    <row r="77" spans="1:28" s="277" customFormat="1" ht="302.39999999999998">
      <c r="A77" s="216" t="s">
        <v>746</v>
      </c>
      <c r="B77" s="217" t="s">
        <v>1153</v>
      </c>
      <c r="C77" s="221" t="s">
        <v>938</v>
      </c>
      <c r="D77" s="283" t="s">
        <v>938</v>
      </c>
      <c r="E77" s="217" t="s">
        <v>2575</v>
      </c>
      <c r="F77" s="217" t="str">
        <f ca="1">IF(ISERROR($V77),"",OFFSET('Smelter Look-up'!$E$4,$V77-4,0))</f>
        <v>CID001761</v>
      </c>
      <c r="G77" s="217" t="str">
        <f ca="1">IF(C77=$X$4,"Enter smelter details",IF(ISERROR($V77),"",OFFSET('Smelter Look-up'!$F$4,$V77-4,0)))</f>
        <v>RMI</v>
      </c>
      <c r="H77" s="218" t="s">
        <v>15683</v>
      </c>
      <c r="I77" s="219" t="s">
        <v>1693</v>
      </c>
      <c r="J77" s="219" t="s">
        <v>11836</v>
      </c>
      <c r="K77" s="273"/>
      <c r="L77" s="273"/>
      <c r="M77" s="273"/>
      <c r="N77" s="273" t="s">
        <v>15684</v>
      </c>
      <c r="O77" s="273" t="s">
        <v>15685</v>
      </c>
      <c r="P77" s="220"/>
      <c r="Q77" s="274" t="s">
        <v>15513</v>
      </c>
      <c r="R77" s="217" t="str">
        <f ca="1">IF(ISERROR($V77),"",OFFSET('Smelter Look-up'!$C$4,$V77-4,0)&amp;"")</f>
        <v>Solar Applied Materials Technology Corp.</v>
      </c>
      <c r="S77" s="225" t="str">
        <f t="shared" ca="1" si="12"/>
        <v>TW</v>
      </c>
      <c r="T77" s="225" t="str">
        <f ca="1">IF(B77="","",IF(ISERROR(MATCH($J77,SorP!$B$1:$B$6230,0)),"",INDIRECT("'SorP'!$A$"&amp;MATCH($J77,SorP!$B$1:$B$6230,0))))</f>
        <v>TW-TNN</v>
      </c>
      <c r="U77" s="241"/>
      <c r="V77" s="275">
        <f>IF(C77="",NA(),MATCH($B77&amp;$C77,'Smelter Look-up'!$J:$J,0))</f>
        <v>233</v>
      </c>
      <c r="W77" s="276"/>
      <c r="X77" s="276">
        <f t="shared" si="13"/>
        <v>0</v>
      </c>
      <c r="Y77" s="276"/>
      <c r="Z77" s="276"/>
      <c r="AB77" s="278" t="str">
        <f t="shared" si="14"/>
        <v>GoldSolar Applied Materials Technology Corp.</v>
      </c>
    </row>
    <row r="78" spans="1:28" s="277" customFormat="1" ht="151.19999999999999">
      <c r="A78" s="216" t="s">
        <v>745</v>
      </c>
      <c r="B78" s="217" t="s">
        <v>1153</v>
      </c>
      <c r="C78" s="221" t="s">
        <v>937</v>
      </c>
      <c r="D78" s="283" t="s">
        <v>937</v>
      </c>
      <c r="E78" s="217" t="s">
        <v>906</v>
      </c>
      <c r="F78" s="217" t="str">
        <f ca="1">IF(ISERROR($V78),"",OFFSET('Smelter Look-up'!$E$4,$V78-4,0))</f>
        <v>CID001756</v>
      </c>
      <c r="G78" s="217" t="str">
        <f ca="1">IF(C78=$X$4,"Enter smelter details",IF(ISERROR($V78),"",OFFSET('Smelter Look-up'!$F$4,$V78-4,0)))</f>
        <v>RMI</v>
      </c>
      <c r="H78" s="218" t="s">
        <v>15686</v>
      </c>
      <c r="I78" s="219" t="s">
        <v>1692</v>
      </c>
      <c r="J78" s="219" t="s">
        <v>10284</v>
      </c>
      <c r="K78" s="273"/>
      <c r="L78" s="273"/>
      <c r="M78" s="273"/>
      <c r="N78" s="273" t="s">
        <v>15538</v>
      </c>
      <c r="O78" s="273" t="s">
        <v>15687</v>
      </c>
      <c r="P78" s="220"/>
      <c r="Q78" s="274" t="s">
        <v>15513</v>
      </c>
      <c r="R78" s="217" t="str">
        <f ca="1">IF(ISERROR($V78),"",OFFSET('Smelter Look-up'!$C$4,$V78-4,0)&amp;"")</f>
        <v>SOE Shyolkovsky Factory of Secondary Precious Metals</v>
      </c>
      <c r="S78" s="225" t="str">
        <f t="shared" ca="1" si="12"/>
        <v>RU</v>
      </c>
      <c r="T78" s="225" t="str">
        <f ca="1">IF(B78="","",IF(ISERROR(MATCH($J78,SorP!$B$1:$B$6230,0)),"",INDIRECT("'SorP'!$A$"&amp;MATCH($J78,SorP!$B$1:$B$6230,0))))</f>
        <v>RU-MOS</v>
      </c>
      <c r="U78" s="241"/>
      <c r="V78" s="275">
        <f>IF(C78="",NA(),MATCH($B78&amp;$C78,'Smelter Look-up'!$J:$J,0))</f>
        <v>232</v>
      </c>
      <c r="W78" s="276"/>
      <c r="X78" s="276">
        <f t="shared" si="13"/>
        <v>0</v>
      </c>
      <c r="Y78" s="276"/>
      <c r="Z78" s="276"/>
      <c r="AB78" s="278" t="str">
        <f t="shared" si="14"/>
        <v>GoldSOE Shyolkovsky Factory of Secondary Precious Metals</v>
      </c>
    </row>
    <row r="79" spans="1:28" s="277" customFormat="1" ht="151.19999999999999">
      <c r="A79" s="216" t="s">
        <v>1415</v>
      </c>
      <c r="B79" s="217" t="s">
        <v>1153</v>
      </c>
      <c r="C79" s="221" t="s">
        <v>2266</v>
      </c>
      <c r="D79" s="283" t="s">
        <v>2266</v>
      </c>
      <c r="E79" s="217" t="s">
        <v>1123</v>
      </c>
      <c r="F79" s="217" t="str">
        <f ca="1">IF(ISERROR($V79),"",OFFSET('Smelter Look-up'!$E$4,$V79-4,0))</f>
        <v>CID001736</v>
      </c>
      <c r="G79" s="217" t="str">
        <f ca="1">IF(C79=$X$4,"Enter smelter details",IF(ISERROR($V79),"",OFFSET('Smelter Look-up'!$F$4,$V79-4,0)))</f>
        <v>RMI</v>
      </c>
      <c r="H79" s="218" t="s">
        <v>15674</v>
      </c>
      <c r="I79" s="219" t="s">
        <v>1691</v>
      </c>
      <c r="J79" s="219" t="s">
        <v>13973</v>
      </c>
      <c r="K79" s="273"/>
      <c r="L79" s="273"/>
      <c r="M79" s="273"/>
      <c r="N79" s="273" t="s">
        <v>15688</v>
      </c>
      <c r="O79" s="273" t="s">
        <v>15689</v>
      </c>
      <c r="P79" s="220"/>
      <c r="Q79" s="274" t="s">
        <v>15513</v>
      </c>
      <c r="R79" s="217" t="str">
        <f ca="1">IF(ISERROR($V79),"",OFFSET('Smelter Look-up'!$C$4,$V79-4,0)&amp;"")</f>
        <v>Sichuan Tianze Precious Metals Co., Ltd.</v>
      </c>
      <c r="S79" s="225" t="str">
        <f t="shared" ca="1" si="12"/>
        <v>CN</v>
      </c>
      <c r="T79" s="225" t="str">
        <f ca="1">IF(B79="","",IF(ISERROR(MATCH($J79,SorP!$B$1:$B$6230,0)),"",INDIRECT("'SorP'!$A$"&amp;MATCH($J79,SorP!$B$1:$B$6230,0))))</f>
        <v>CN-SC</v>
      </c>
      <c r="U79" s="241"/>
      <c r="V79" s="275">
        <f>IF(C79="",NA(),MATCH($B79&amp;$C79,'Smelter Look-up'!$J:$J,0))</f>
        <v>228</v>
      </c>
      <c r="W79" s="276"/>
      <c r="X79" s="276">
        <f t="shared" si="13"/>
        <v>0</v>
      </c>
      <c r="Y79" s="276"/>
      <c r="Z79" s="276"/>
      <c r="AB79" s="278" t="str">
        <f t="shared" si="14"/>
        <v>GoldSichuan Tianze Precious Metals Co., Ltd.</v>
      </c>
    </row>
    <row r="80" spans="1:28" s="277" customFormat="1" ht="176.4">
      <c r="A80" s="216" t="s">
        <v>744</v>
      </c>
      <c r="B80" s="217" t="s">
        <v>1153</v>
      </c>
      <c r="C80" s="221" t="s">
        <v>2265</v>
      </c>
      <c r="D80" s="283" t="s">
        <v>2265</v>
      </c>
      <c r="E80" s="217" t="s">
        <v>1123</v>
      </c>
      <c r="F80" s="217" t="str">
        <f ca="1">IF(ISERROR($V80),"",OFFSET('Smelter Look-up'!$E$4,$V80-4,0))</f>
        <v>CID001622</v>
      </c>
      <c r="G80" s="217" t="str">
        <f ca="1">IF(C80=$X$4,"Enter smelter details",IF(ISERROR($V80),"",OFFSET('Smelter Look-up'!$F$4,$V80-4,0)))</f>
        <v>RMI</v>
      </c>
      <c r="H80" s="218" t="s">
        <v>15690</v>
      </c>
      <c r="I80" s="219" t="s">
        <v>1615</v>
      </c>
      <c r="J80" s="219" t="s">
        <v>13967</v>
      </c>
      <c r="K80" s="273"/>
      <c r="L80" s="273"/>
      <c r="M80" s="273"/>
      <c r="N80" s="273" t="s">
        <v>15691</v>
      </c>
      <c r="O80" s="273" t="s">
        <v>15692</v>
      </c>
      <c r="P80" s="220"/>
      <c r="Q80" s="274" t="s">
        <v>15513</v>
      </c>
      <c r="R80" s="217" t="str">
        <f ca="1">IF(ISERROR($V80),"",OFFSET('Smelter Look-up'!$C$4,$V80-4,0)&amp;"")</f>
        <v>Shandong Zhaojin Gold &amp; Silver Refinery Co., Ltd.</v>
      </c>
      <c r="S80" s="225" t="str">
        <f t="shared" ca="1" si="12"/>
        <v>CN</v>
      </c>
      <c r="T80" s="225" t="str">
        <f ca="1">IF(B80="","",IF(ISERROR(MATCH($J80,SorP!$B$1:$B$6230,0)),"",INDIRECT("'SorP'!$A$"&amp;MATCH($J80,SorP!$B$1:$B$6230,0))))</f>
        <v>CN-SD</v>
      </c>
      <c r="U80" s="241"/>
      <c r="V80" s="275">
        <f>IF(C80="",NA(),MATCH($B80&amp;$C80,'Smelter Look-up'!$J:$J,0))</f>
        <v>223</v>
      </c>
      <c r="W80" s="276"/>
      <c r="X80" s="276">
        <f t="shared" si="13"/>
        <v>0</v>
      </c>
      <c r="Y80" s="276"/>
      <c r="Z80" s="276"/>
      <c r="AB80" s="278" t="str">
        <f t="shared" si="14"/>
        <v>GoldShandong Zhaojin Gold &amp; Silver Refinery Co., Ltd.</v>
      </c>
    </row>
    <row r="81" spans="1:28" s="277" customFormat="1" ht="113.4">
      <c r="A81" s="216" t="s">
        <v>1686</v>
      </c>
      <c r="B81" s="217" t="s">
        <v>1153</v>
      </c>
      <c r="C81" s="221" t="s">
        <v>1685</v>
      </c>
      <c r="D81" s="283" t="s">
        <v>1685</v>
      </c>
      <c r="E81" s="217" t="s">
        <v>1123</v>
      </c>
      <c r="F81" s="217" t="str">
        <f ca="1">IF(ISERROR($V81),"",OFFSET('Smelter Look-up'!$E$4,$V81-4,0))</f>
        <v>CID001619</v>
      </c>
      <c r="G81" s="217" t="str">
        <f ca="1">IF(C81=$X$4,"Enter smelter details",IF(ISERROR($V81),"",OFFSET('Smelter Look-up'!$F$4,$V81-4,0)))</f>
        <v>RMI</v>
      </c>
      <c r="H81" s="218" t="s">
        <v>15671</v>
      </c>
      <c r="I81" s="219" t="s">
        <v>1687</v>
      </c>
      <c r="J81" s="219" t="s">
        <v>13967</v>
      </c>
      <c r="K81" s="273"/>
      <c r="L81" s="273"/>
      <c r="M81" s="273"/>
      <c r="N81" s="273"/>
      <c r="O81" s="273" t="s">
        <v>15693</v>
      </c>
      <c r="P81" s="220"/>
      <c r="Q81" s="274"/>
      <c r="R81" s="217" t="str">
        <f ca="1">IF(ISERROR($V81),"",OFFSET('Smelter Look-up'!$C$4,$V81-4,0)&amp;"")</f>
        <v>Shandong Tiancheng Biological Gold Industrial Co., Ltd.</v>
      </c>
      <c r="S81" s="225" t="str">
        <f t="shared" ca="1" si="12"/>
        <v>CN</v>
      </c>
      <c r="T81" s="225" t="str">
        <f ca="1">IF(B81="","",IF(ISERROR(MATCH($J81,SorP!$B$1:$B$6230,0)),"",INDIRECT("'SorP'!$A$"&amp;MATCH($J81,SorP!$B$1:$B$6230,0))))</f>
        <v>CN-SD</v>
      </c>
      <c r="U81" s="241"/>
      <c r="V81" s="275">
        <f>IF(C81="",NA(),MATCH($B81&amp;$C81,'Smelter Look-up'!$J:$J,0))</f>
        <v>222</v>
      </c>
      <c r="W81" s="276"/>
      <c r="X81" s="276">
        <f t="shared" si="13"/>
        <v>0</v>
      </c>
      <c r="Y81" s="276"/>
      <c r="Z81" s="276"/>
      <c r="AB81" s="278" t="str">
        <f t="shared" si="14"/>
        <v>GoldShandong Tiancheng Biological Gold Industrial Co., Ltd.</v>
      </c>
    </row>
    <row r="82" spans="1:28" s="277" customFormat="1" ht="252">
      <c r="A82" s="216" t="s">
        <v>743</v>
      </c>
      <c r="B82" s="217" t="s">
        <v>1153</v>
      </c>
      <c r="C82" s="221" t="s">
        <v>12760</v>
      </c>
      <c r="D82" s="283" t="s">
        <v>12760</v>
      </c>
      <c r="E82" s="217" t="s">
        <v>1125</v>
      </c>
      <c r="F82" s="217" t="str">
        <f ca="1">IF(ISERROR($V82),"",OFFSET('Smelter Look-up'!$E$4,$V82-4,0))</f>
        <v>CID001585</v>
      </c>
      <c r="G82" s="217" t="str">
        <f ca="1">IF(C82=$X$4,"Enter smelter details",IF(ISERROR($V82),"",OFFSET('Smelter Look-up'!$F$4,$V82-4,0)))</f>
        <v>RMI</v>
      </c>
      <c r="H82" s="218" t="s">
        <v>15694</v>
      </c>
      <c r="I82" s="219" t="s">
        <v>1683</v>
      </c>
      <c r="J82" s="219" t="s">
        <v>4834</v>
      </c>
      <c r="K82" s="273"/>
      <c r="L82" s="273"/>
      <c r="M82" s="273"/>
      <c r="N82" s="273" t="s">
        <v>15695</v>
      </c>
      <c r="O82" s="273" t="s">
        <v>15696</v>
      </c>
      <c r="P82" s="220"/>
      <c r="Q82" s="274" t="s">
        <v>15513</v>
      </c>
      <c r="R82" s="217" t="str">
        <f ca="1">IF(ISERROR($V82),"",OFFSET('Smelter Look-up'!$C$4,$V82-4,0)&amp;"")</f>
        <v>SEMPSA Joyeria Plateria S.A.</v>
      </c>
      <c r="S82" s="225" t="str">
        <f t="shared" ca="1" si="12"/>
        <v>ES</v>
      </c>
      <c r="T82" s="225" t="str">
        <f ca="1">IF(B82="","",IF(ISERROR(MATCH($J82,SorP!$B$1:$B$6230,0)),"",INDIRECT("'SorP'!$A$"&amp;MATCH($J82,SorP!$B$1:$B$6230,0))))</f>
        <v>ES-MD</v>
      </c>
      <c r="U82" s="241"/>
      <c r="V82" s="275">
        <f>IF(C82="",NA(),MATCH($B82&amp;$C82,'Smelter Look-up'!$J:$J,0))</f>
        <v>214</v>
      </c>
      <c r="W82" s="276"/>
      <c r="X82" s="276">
        <f t="shared" si="13"/>
        <v>0</v>
      </c>
      <c r="Y82" s="276"/>
      <c r="Z82" s="276"/>
      <c r="AB82" s="278" t="str">
        <f t="shared" si="14"/>
        <v>GoldSEMPSA Joyeria Plateria S.A.</v>
      </c>
    </row>
    <row r="83" spans="1:28" s="277" customFormat="1" ht="50.4">
      <c r="A83" s="216" t="s">
        <v>742</v>
      </c>
      <c r="B83" s="217" t="s">
        <v>1153</v>
      </c>
      <c r="C83" s="221" t="s">
        <v>15697</v>
      </c>
      <c r="D83" s="283" t="s">
        <v>15697</v>
      </c>
      <c r="E83" s="217" t="s">
        <v>1134</v>
      </c>
      <c r="F83" s="217" t="str">
        <f ca="1">IF(ISERROR($V83),"",OFFSET('Smelter Look-up'!$E$4,$V83-4,0))</f>
        <v>CID001562</v>
      </c>
      <c r="G83" s="217" t="str">
        <f ca="1">IF(C83=$X$4,"Enter smelter details",IF(ISERROR($V83),"",OFFSET('Smelter Look-up'!$F$4,$V83-4,0)))</f>
        <v>RMI</v>
      </c>
      <c r="H83" s="218" t="s">
        <v>15698</v>
      </c>
      <c r="I83" s="219" t="s">
        <v>1682</v>
      </c>
      <c r="J83" s="219" t="s">
        <v>13204</v>
      </c>
      <c r="K83" s="273"/>
      <c r="L83" s="273"/>
      <c r="M83" s="273"/>
      <c r="N83" s="273"/>
      <c r="O83" s="273" t="s">
        <v>15699</v>
      </c>
      <c r="P83" s="220"/>
      <c r="Q83" s="274"/>
      <c r="R83" s="217" t="str">
        <f ca="1">IF(ISERROR($V83),"",OFFSET('Smelter Look-up'!$C$4,$V83-4,0)&amp;"")</f>
        <v>Samwon Metals Corp.</v>
      </c>
      <c r="S83" s="225" t="str">
        <f t="shared" ca="1" si="12"/>
        <v>KR</v>
      </c>
      <c r="T83" s="225" t="str">
        <f ca="1">IF(B83="","",IF(ISERROR(MATCH($J83,SorP!$B$1:$B$6230,0)),"",INDIRECT("'SorP'!$A$"&amp;MATCH($J83,SorP!$B$1:$B$6230,0))))</f>
        <v>KR-48</v>
      </c>
      <c r="U83" s="241"/>
      <c r="V83" s="275">
        <f>IF(C83="",NA(),MATCH($B83&amp;$C83,'Smelter Look-up'!$J:$J,0))</f>
        <v>211</v>
      </c>
      <c r="W83" s="276"/>
      <c r="X83" s="276">
        <f t="shared" si="13"/>
        <v>0</v>
      </c>
      <c r="Y83" s="276"/>
      <c r="Z83" s="276"/>
      <c r="AB83" s="278" t="str">
        <f t="shared" si="14"/>
        <v>GoldSAMWON METALS Corp.</v>
      </c>
    </row>
    <row r="84" spans="1:28" s="277" customFormat="1" ht="214.2">
      <c r="A84" s="216" t="s">
        <v>1432</v>
      </c>
      <c r="B84" s="217" t="s">
        <v>1153</v>
      </c>
      <c r="C84" s="221" t="s">
        <v>1431</v>
      </c>
      <c r="D84" s="283" t="s">
        <v>1431</v>
      </c>
      <c r="E84" s="217" t="s">
        <v>1134</v>
      </c>
      <c r="F84" s="217" t="str">
        <f ca="1">IF(ISERROR($V84),"",OFFSET('Smelter Look-up'!$E$4,$V84-4,0))</f>
        <v>CID001555</v>
      </c>
      <c r="G84" s="217" t="str">
        <f ca="1">IF(C84=$X$4,"Enter smelter details",IF(ISERROR($V84),"",OFFSET('Smelter Look-up'!$F$4,$V84-4,0)))</f>
        <v>RMI</v>
      </c>
      <c r="H84" s="218" t="s">
        <v>15700</v>
      </c>
      <c r="I84" s="219" t="s">
        <v>1601</v>
      </c>
      <c r="J84" s="219" t="s">
        <v>13197</v>
      </c>
      <c r="K84" s="273"/>
      <c r="L84" s="273"/>
      <c r="M84" s="273"/>
      <c r="N84" s="273" t="s">
        <v>15701</v>
      </c>
      <c r="O84" s="273" t="s">
        <v>15702</v>
      </c>
      <c r="P84" s="220"/>
      <c r="Q84" s="274" t="s">
        <v>15513</v>
      </c>
      <c r="R84" s="217" t="str">
        <f ca="1">IF(ISERROR($V84),"",OFFSET('Smelter Look-up'!$C$4,$V84-4,0)&amp;"")</f>
        <v>Samduck Precious Metals</v>
      </c>
      <c r="S84" s="225" t="str">
        <f t="shared" ca="1" si="12"/>
        <v>KR</v>
      </c>
      <c r="T84" s="225" t="str">
        <f ca="1">IF(B84="","",IF(ISERROR(MATCH($J84,SorP!$B$1:$B$6230,0)),"",INDIRECT("'SorP'!$A$"&amp;MATCH($J84,SorP!$B$1:$B$6230,0))))</f>
        <v>KR-28</v>
      </c>
      <c r="U84" s="241"/>
      <c r="V84" s="275">
        <f>IF(C84="",NA(),MATCH($B84&amp;$C84,'Smelter Look-up'!$J:$J,0))</f>
        <v>210</v>
      </c>
      <c r="W84" s="276"/>
      <c r="X84" s="276">
        <f t="shared" si="13"/>
        <v>0</v>
      </c>
      <c r="Y84" s="276"/>
      <c r="Z84" s="276"/>
      <c r="AB84" s="278" t="str">
        <f t="shared" si="14"/>
        <v>GoldSamduck Precious Metals</v>
      </c>
    </row>
    <row r="85" spans="1:28" s="277" customFormat="1" ht="75.599999999999994">
      <c r="A85" s="216" t="s">
        <v>741</v>
      </c>
      <c r="B85" s="217" t="s">
        <v>1153</v>
      </c>
      <c r="C85" s="221" t="s">
        <v>1188</v>
      </c>
      <c r="D85" s="283" t="s">
        <v>1188</v>
      </c>
      <c r="E85" s="217" t="s">
        <v>2576</v>
      </c>
      <c r="F85" s="217" t="str">
        <f ca="1">IF(ISERROR($V85),"",OFFSET('Smelter Look-up'!$E$4,$V85-4,0))</f>
        <v>CID001546</v>
      </c>
      <c r="G85" s="217" t="str">
        <f ca="1">IF(C85=$X$4,"Enter smelter details",IF(ISERROR($V85),"",OFFSET('Smelter Look-up'!$F$4,$V85-4,0)))</f>
        <v>RMI</v>
      </c>
      <c r="H85" s="218" t="s">
        <v>15703</v>
      </c>
      <c r="I85" s="219" t="s">
        <v>1678</v>
      </c>
      <c r="J85" s="219" t="s">
        <v>1679</v>
      </c>
      <c r="K85" s="273"/>
      <c r="L85" s="273"/>
      <c r="M85" s="273"/>
      <c r="N85" s="273"/>
      <c r="O85" s="273" t="s">
        <v>15704</v>
      </c>
      <c r="P85" s="220"/>
      <c r="Q85" s="274"/>
      <c r="R85" s="217" t="str">
        <f ca="1">IF(ISERROR($V85),"",OFFSET('Smelter Look-up'!$C$4,$V85-4,0)&amp;"")</f>
        <v>Sabin Metal Corp.</v>
      </c>
      <c r="S85" s="225" t="str">
        <f t="shared" ca="1" si="12"/>
        <v>US</v>
      </c>
      <c r="T85" s="225" t="str">
        <f ca="1">IF(B85="","",IF(ISERROR(MATCH($J85,SorP!$B$1:$B$6230,0)),"",INDIRECT("'SorP'!$A$"&amp;MATCH($J85,SorP!$B$1:$B$6230,0))))</f>
        <v>US-ND</v>
      </c>
      <c r="U85" s="241"/>
      <c r="V85" s="275">
        <f>IF(C85="",NA(),MATCH($B85&amp;$C85,'Smelter Look-up'!$J:$J,0))</f>
        <v>204</v>
      </c>
      <c r="W85" s="276"/>
      <c r="X85" s="276">
        <f t="shared" si="13"/>
        <v>0</v>
      </c>
      <c r="Y85" s="276"/>
      <c r="Z85" s="276"/>
      <c r="AB85" s="278" t="str">
        <f t="shared" si="14"/>
        <v>GoldSabin Metal Corp.</v>
      </c>
    </row>
    <row r="86" spans="1:28" s="277" customFormat="1" ht="252">
      <c r="A86" s="216" t="s">
        <v>740</v>
      </c>
      <c r="B86" s="217" t="s">
        <v>1153</v>
      </c>
      <c r="C86" s="221" t="s">
        <v>936</v>
      </c>
      <c r="D86" s="283" t="s">
        <v>936</v>
      </c>
      <c r="E86" s="217" t="s">
        <v>1120</v>
      </c>
      <c r="F86" s="217" t="str">
        <f ca="1">IF(ISERROR($V86),"",OFFSET('Smelter Look-up'!$E$4,$V86-4,0))</f>
        <v>CID001534</v>
      </c>
      <c r="G86" s="217" t="str">
        <f ca="1">IF(C86=$X$4,"Enter smelter details",IF(ISERROR($V86),"",OFFSET('Smelter Look-up'!$F$4,$V86-4,0)))</f>
        <v>RMI</v>
      </c>
      <c r="H86" s="218" t="s">
        <v>15705</v>
      </c>
      <c r="I86" s="219" t="s">
        <v>1677</v>
      </c>
      <c r="J86" s="219" t="s">
        <v>1633</v>
      </c>
      <c r="K86" s="273"/>
      <c r="L86" s="273"/>
      <c r="M86" s="273"/>
      <c r="N86" s="273" t="s">
        <v>15706</v>
      </c>
      <c r="O86" s="273" t="s">
        <v>15707</v>
      </c>
      <c r="P86" s="220"/>
      <c r="Q86" s="274" t="s">
        <v>15513</v>
      </c>
      <c r="R86" s="217" t="str">
        <f ca="1">IF(ISERROR($V86),"",OFFSET('Smelter Look-up'!$C$4,$V86-4,0)&amp;"")</f>
        <v>Royal Canadian Mint</v>
      </c>
      <c r="S86" s="225" t="str">
        <f t="shared" ca="1" si="12"/>
        <v>CA</v>
      </c>
      <c r="T86" s="225" t="str">
        <f ca="1">IF(B86="","",IF(ISERROR(MATCH($J86,SorP!$B$1:$B$6230,0)),"",INDIRECT("'SorP'!$A$"&amp;MATCH($J86,SorP!$B$1:$B$6230,0))))</f>
        <v>CA-ON</v>
      </c>
      <c r="U86" s="241"/>
      <c r="V86" s="275">
        <f>IF(C86="",NA(),MATCH($B86&amp;$C86,'Smelter Look-up'!$J:$J,0))</f>
        <v>202</v>
      </c>
      <c r="W86" s="276"/>
      <c r="X86" s="276">
        <f t="shared" si="13"/>
        <v>0</v>
      </c>
      <c r="Y86" s="276"/>
      <c r="Z86" s="276"/>
      <c r="AB86" s="278" t="str">
        <f t="shared" si="14"/>
        <v>GoldRoyal Canadian Mint</v>
      </c>
    </row>
    <row r="87" spans="1:28" s="277" customFormat="1" ht="302.39999999999998">
      <c r="A87" s="216" t="s">
        <v>739</v>
      </c>
      <c r="B87" s="217" t="s">
        <v>1153</v>
      </c>
      <c r="C87" s="221" t="s">
        <v>2263</v>
      </c>
      <c r="D87" s="283" t="s">
        <v>2263</v>
      </c>
      <c r="E87" s="217" t="s">
        <v>916</v>
      </c>
      <c r="F87" s="217" t="str">
        <f ca="1">IF(ISERROR($V87),"",OFFSET('Smelter Look-up'!$E$4,$V87-4,0))</f>
        <v>CID001512</v>
      </c>
      <c r="G87" s="217" t="str">
        <f ca="1">IF(C87=$X$4,"Enter smelter details",IF(ISERROR($V87),"",OFFSET('Smelter Look-up'!$F$4,$V87-4,0)))</f>
        <v>RMI</v>
      </c>
      <c r="H87" s="218" t="s">
        <v>15708</v>
      </c>
      <c r="I87" s="219" t="s">
        <v>1675</v>
      </c>
      <c r="J87" s="219" t="s">
        <v>1676</v>
      </c>
      <c r="K87" s="273"/>
      <c r="L87" s="273"/>
      <c r="M87" s="273"/>
      <c r="N87" s="273" t="s">
        <v>15709</v>
      </c>
      <c r="O87" s="273" t="s">
        <v>15710</v>
      </c>
      <c r="P87" s="220"/>
      <c r="Q87" s="274" t="s">
        <v>15513</v>
      </c>
      <c r="R87" s="217" t="str">
        <f ca="1">IF(ISERROR($V87),"",OFFSET('Smelter Look-up'!$C$4,$V87-4,0)&amp;"")</f>
        <v>Rand Refinery (Pty) Ltd.</v>
      </c>
      <c r="S87" s="225" t="str">
        <f t="shared" ca="1" si="12"/>
        <v>ZA</v>
      </c>
      <c r="T87" s="225" t="str">
        <f ca="1">IF(B87="","",IF(ISERROR(MATCH($J87,SorP!$B$1:$B$6230,0)),"",INDIRECT("'SorP'!$A$"&amp;MATCH($J87,SorP!$B$1:$B$6230,0))))</f>
        <v>ZA-GT</v>
      </c>
      <c r="U87" s="241"/>
      <c r="V87" s="275">
        <f>IF(C87="",NA(),MATCH($B87&amp;$C87,'Smelter Look-up'!$J:$J,0))</f>
        <v>197</v>
      </c>
      <c r="W87" s="276"/>
      <c r="X87" s="276">
        <f t="shared" si="13"/>
        <v>0</v>
      </c>
      <c r="Y87" s="276"/>
      <c r="Z87" s="276"/>
      <c r="AB87" s="278" t="str">
        <f t="shared" si="14"/>
        <v>GoldRand Refinery (Pty) Ltd.</v>
      </c>
    </row>
    <row r="88" spans="1:28" s="277" customFormat="1" ht="201.6">
      <c r="A88" s="216" t="s">
        <v>738</v>
      </c>
      <c r="B88" s="217" t="s">
        <v>1153</v>
      </c>
      <c r="C88" s="221" t="s">
        <v>12759</v>
      </c>
      <c r="D88" s="283" t="s">
        <v>12759</v>
      </c>
      <c r="E88" s="217" t="s">
        <v>1121</v>
      </c>
      <c r="F88" s="217" t="str">
        <f ca="1">IF(ISERROR($V88),"",OFFSET('Smelter Look-up'!$E$4,$V88-4,0))</f>
        <v>CID001498</v>
      </c>
      <c r="G88" s="217" t="str">
        <f ca="1">IF(C88=$X$4,"Enter smelter details",IF(ISERROR($V88),"",OFFSET('Smelter Look-up'!$F$4,$V88-4,0)))</f>
        <v>RMI</v>
      </c>
      <c r="H88" s="218" t="s">
        <v>15711</v>
      </c>
      <c r="I88" s="219" t="s">
        <v>1674</v>
      </c>
      <c r="J88" s="219" t="s">
        <v>1653</v>
      </c>
      <c r="K88" s="273"/>
      <c r="L88" s="273"/>
      <c r="M88" s="273"/>
      <c r="N88" s="273" t="s">
        <v>15712</v>
      </c>
      <c r="O88" s="273" t="s">
        <v>15713</v>
      </c>
      <c r="P88" s="220"/>
      <c r="Q88" s="274" t="s">
        <v>15513</v>
      </c>
      <c r="R88" s="217" t="str">
        <f ca="1">IF(ISERROR($V88),"",OFFSET('Smelter Look-up'!$C$4,$V88-4,0)&amp;"")</f>
        <v>PX Precinox S.A.</v>
      </c>
      <c r="S88" s="225" t="str">
        <f t="shared" ca="1" si="12"/>
        <v>CH</v>
      </c>
      <c r="T88" s="225" t="str">
        <f ca="1">IF(B88="","",IF(ISERROR(MATCH($J88,SorP!$B$1:$B$6230,0)),"",INDIRECT("'SorP'!$A$"&amp;MATCH($J88,SorP!$B$1:$B$6230,0))))</f>
        <v>CH-NE</v>
      </c>
      <c r="U88" s="241"/>
      <c r="V88" s="275">
        <f>IF(C88="",NA(),MATCH($B88&amp;$C88,'Smelter Look-up'!$J:$J,0))</f>
        <v>194</v>
      </c>
      <c r="W88" s="276"/>
      <c r="X88" s="276">
        <f t="shared" si="13"/>
        <v>0</v>
      </c>
      <c r="Y88" s="276"/>
      <c r="Z88" s="276"/>
      <c r="AB88" s="278" t="str">
        <f t="shared" si="14"/>
        <v>GoldPX Precinox S.A.</v>
      </c>
    </row>
    <row r="89" spans="1:28" s="277" customFormat="1" ht="214.2">
      <c r="A89" s="216" t="s">
        <v>737</v>
      </c>
      <c r="B89" s="217" t="s">
        <v>1153</v>
      </c>
      <c r="C89" s="221" t="s">
        <v>1255</v>
      </c>
      <c r="D89" s="283" t="s">
        <v>1255</v>
      </c>
      <c r="E89" s="217" t="s">
        <v>1128</v>
      </c>
      <c r="F89" s="217" t="str">
        <f ca="1">IF(ISERROR($V89),"",OFFSET('Smelter Look-up'!$E$4,$V89-4,0))</f>
        <v>CID001397</v>
      </c>
      <c r="G89" s="217" t="str">
        <f ca="1">IF(C89=$X$4,"Enter smelter details",IF(ISERROR($V89),"",OFFSET('Smelter Look-up'!$F$4,$V89-4,0)))</f>
        <v>RMI</v>
      </c>
      <c r="H89" s="218" t="s">
        <v>15714</v>
      </c>
      <c r="I89" s="219" t="s">
        <v>1673</v>
      </c>
      <c r="J89" s="219" t="s">
        <v>6188</v>
      </c>
      <c r="K89" s="273"/>
      <c r="L89" s="273"/>
      <c r="M89" s="273"/>
      <c r="N89" s="273" t="s">
        <v>15715</v>
      </c>
      <c r="O89" s="273" t="s">
        <v>15716</v>
      </c>
      <c r="P89" s="220"/>
      <c r="Q89" s="274" t="s">
        <v>15513</v>
      </c>
      <c r="R89" s="217" t="str">
        <f ca="1">IF(ISERROR($V89),"",OFFSET('Smelter Look-up'!$C$4,$V89-4,0)&amp;"")</f>
        <v>PT Aneka Tambang (Persero) Tbk</v>
      </c>
      <c r="S89" s="225" t="str">
        <f t="shared" ca="1" si="12"/>
        <v>ID</v>
      </c>
      <c r="T89" s="225" t="str">
        <f ca="1">IF(B89="","",IF(ISERROR(MATCH($J89,SorP!$B$1:$B$6230,0)),"",INDIRECT("'SorP'!$A$"&amp;MATCH($J89,SorP!$B$1:$B$6230,0))))</f>
        <v>ID-JK</v>
      </c>
      <c r="U89" s="241"/>
      <c r="V89" s="275">
        <f>IF(C89="",NA(),MATCH($B89&amp;$C89,'Smelter Look-up'!$J:$J,0))</f>
        <v>193</v>
      </c>
      <c r="W89" s="276"/>
      <c r="X89" s="276">
        <f t="shared" si="13"/>
        <v>0</v>
      </c>
      <c r="Y89" s="276"/>
      <c r="Z89" s="276"/>
      <c r="AB89" s="278" t="str">
        <f t="shared" si="14"/>
        <v>GoldPT Aneka Tambang (Persero) Tbk</v>
      </c>
    </row>
    <row r="90" spans="1:28" s="277" customFormat="1" ht="252">
      <c r="A90" s="216" t="s">
        <v>736</v>
      </c>
      <c r="B90" s="217" t="s">
        <v>1153</v>
      </c>
      <c r="C90" s="221" t="s">
        <v>935</v>
      </c>
      <c r="D90" s="283" t="s">
        <v>935</v>
      </c>
      <c r="E90" s="217" t="s">
        <v>906</v>
      </c>
      <c r="F90" s="217" t="str">
        <f ca="1">IF(ISERROR($V90),"",OFFSET('Smelter Look-up'!$E$4,$V90-4,0))</f>
        <v>CID001386</v>
      </c>
      <c r="G90" s="217" t="str">
        <f ca="1">IF(C90=$X$4,"Enter smelter details",IF(ISERROR($V90),"",OFFSET('Smelter Look-up'!$F$4,$V90-4,0)))</f>
        <v>RMI</v>
      </c>
      <c r="H90" s="218" t="s">
        <v>15717</v>
      </c>
      <c r="I90" s="219" t="s">
        <v>1672</v>
      </c>
      <c r="J90" s="219" t="s">
        <v>10220</v>
      </c>
      <c r="K90" s="273"/>
      <c r="L90" s="273"/>
      <c r="M90" s="273"/>
      <c r="N90" s="273" t="s">
        <v>15688</v>
      </c>
      <c r="O90" s="273" t="s">
        <v>15718</v>
      </c>
      <c r="P90" s="220"/>
      <c r="Q90" s="274" t="s">
        <v>15513</v>
      </c>
      <c r="R90" s="217" t="str">
        <f ca="1">IF(ISERROR($V90),"",OFFSET('Smelter Look-up'!$C$4,$V90-4,0)&amp;"")</f>
        <v>Prioksky Plant of Non-Ferrous Metals</v>
      </c>
      <c r="S90" s="225" t="str">
        <f t="shared" ca="1" si="12"/>
        <v>RU</v>
      </c>
      <c r="T90" s="225" t="str">
        <f ca="1">IF(B90="","",IF(ISERROR(MATCH($J90,SorP!$B$1:$B$6230,0)),"",INDIRECT("'SorP'!$A$"&amp;MATCH($J90,SorP!$B$1:$B$6230,0))))</f>
        <v>RU-RYA</v>
      </c>
      <c r="U90" s="241"/>
      <c r="V90" s="275">
        <f>IF(C90="",NA(),MATCH($B90&amp;$C90,'Smelter Look-up'!$J:$J,0))</f>
        <v>191</v>
      </c>
      <c r="W90" s="276"/>
      <c r="X90" s="276">
        <f t="shared" si="13"/>
        <v>0</v>
      </c>
      <c r="Y90" s="276"/>
      <c r="Z90" s="276"/>
      <c r="AB90" s="278" t="str">
        <f t="shared" si="14"/>
        <v>GoldPrioksky Plant of Non-Ferrous Metals</v>
      </c>
    </row>
    <row r="91" spans="1:28" s="277" customFormat="1" ht="75.599999999999994">
      <c r="A91" s="216" t="s">
        <v>735</v>
      </c>
      <c r="B91" s="217" t="s">
        <v>1153</v>
      </c>
      <c r="C91" s="221" t="s">
        <v>2261</v>
      </c>
      <c r="D91" s="283" t="s">
        <v>2261</v>
      </c>
      <c r="E91" s="217" t="s">
        <v>1123</v>
      </c>
      <c r="F91" s="217" t="str">
        <f ca="1">IF(ISERROR($V91),"",OFFSET('Smelter Look-up'!$E$4,$V91-4,0))</f>
        <v>CID001362</v>
      </c>
      <c r="G91" s="217" t="str">
        <f ca="1">IF(C91=$X$4,"Enter smelter details",IF(ISERROR($V91),"",OFFSET('Smelter Look-up'!$F$4,$V91-4,0)))</f>
        <v>RMI</v>
      </c>
      <c r="H91" s="218" t="s">
        <v>15719</v>
      </c>
      <c r="I91" s="219" t="s">
        <v>2624</v>
      </c>
      <c r="J91" s="219" t="s">
        <v>13967</v>
      </c>
      <c r="K91" s="273"/>
      <c r="L91" s="273"/>
      <c r="M91" s="273"/>
      <c r="N91" s="273"/>
      <c r="O91" s="273" t="s">
        <v>15720</v>
      </c>
      <c r="P91" s="220"/>
      <c r="Q91" s="274"/>
      <c r="R91" s="217" t="str">
        <f ca="1">IF(ISERROR($V91),"",OFFSET('Smelter Look-up'!$C$4,$V91-4,0)&amp;"")</f>
        <v>Penglai Penggang Gold Industry Co., Ltd.</v>
      </c>
      <c r="S91" s="225" t="str">
        <f t="shared" ca="1" si="12"/>
        <v>CN</v>
      </c>
      <c r="T91" s="225" t="str">
        <f ca="1">IF(B91="","",IF(ISERROR(MATCH($J91,SorP!$B$1:$B$6230,0)),"",INDIRECT("'SorP'!$A$"&amp;MATCH($J91,SorP!$B$1:$B$6230,0))))</f>
        <v>CN-SD</v>
      </c>
      <c r="U91" s="241"/>
      <c r="V91" s="275">
        <f>IF(C91="",NA(),MATCH($B91&amp;$C91,'Smelter Look-up'!$J:$J,0))</f>
        <v>187</v>
      </c>
      <c r="W91" s="276"/>
      <c r="X91" s="276">
        <f t="shared" si="13"/>
        <v>0</v>
      </c>
      <c r="Y91" s="276"/>
      <c r="Z91" s="276"/>
      <c r="AB91" s="278" t="str">
        <f t="shared" si="14"/>
        <v>GoldPenglai Penggang Gold Industry Co., Ltd.</v>
      </c>
    </row>
    <row r="92" spans="1:28" s="277" customFormat="1" ht="252">
      <c r="A92" s="216" t="s">
        <v>734</v>
      </c>
      <c r="B92" s="217" t="s">
        <v>1153</v>
      </c>
      <c r="C92" s="221" t="s">
        <v>2439</v>
      </c>
      <c r="D92" s="283" t="s">
        <v>2439</v>
      </c>
      <c r="E92" s="217" t="s">
        <v>1121</v>
      </c>
      <c r="F92" s="217" t="str">
        <f ca="1">IF(ISERROR($V92),"",OFFSET('Smelter Look-up'!$E$4,$V92-4,0))</f>
        <v>CID001352</v>
      </c>
      <c r="G92" s="217" t="str">
        <f ca="1">IF(C92=$X$4,"Enter smelter details",IF(ISERROR($V92),"",OFFSET('Smelter Look-up'!$F$4,$V92-4,0)))</f>
        <v>RMI</v>
      </c>
      <c r="H92" s="218" t="s">
        <v>15721</v>
      </c>
      <c r="I92" s="219" t="s">
        <v>1671</v>
      </c>
      <c r="J92" s="219" t="s">
        <v>1579</v>
      </c>
      <c r="K92" s="273"/>
      <c r="L92" s="273"/>
      <c r="M92" s="273"/>
      <c r="N92" s="273" t="s">
        <v>15722</v>
      </c>
      <c r="O92" s="273" t="s">
        <v>15723</v>
      </c>
      <c r="P92" s="220"/>
      <c r="Q92" s="274" t="s">
        <v>15513</v>
      </c>
      <c r="R92" s="217" t="str">
        <f ca="1">IF(ISERROR($V92),"",OFFSET('Smelter Look-up'!$C$4,$V92-4,0)&amp;"")</f>
        <v>PAMP S.A.</v>
      </c>
      <c r="S92" s="225" t="str">
        <f t="shared" ca="1" si="12"/>
        <v>CH</v>
      </c>
      <c r="T92" s="225" t="str">
        <f ca="1">IF(B92="","",IF(ISERROR(MATCH($J92,SorP!$B$1:$B$6230,0)),"",INDIRECT("'SorP'!$A$"&amp;MATCH($J92,SorP!$B$1:$B$6230,0))))</f>
        <v>CH-TI</v>
      </c>
      <c r="U92" s="241"/>
      <c r="V92" s="275">
        <f>IF(C92="",NA(),MATCH($B92&amp;$C92,'Smelter Look-up'!$J:$J,0))</f>
        <v>184</v>
      </c>
      <c r="W92" s="276"/>
      <c r="X92" s="276">
        <f t="shared" si="13"/>
        <v>0</v>
      </c>
      <c r="Y92" s="276"/>
      <c r="Z92" s="276"/>
      <c r="AB92" s="278" t="str">
        <f t="shared" si="14"/>
        <v>GoldPAMP S.A.</v>
      </c>
    </row>
    <row r="93" spans="1:28" s="277" customFormat="1" ht="151.19999999999999">
      <c r="A93" s="216" t="s">
        <v>733</v>
      </c>
      <c r="B93" s="217" t="s">
        <v>1153</v>
      </c>
      <c r="C93" s="221" t="s">
        <v>2369</v>
      </c>
      <c r="D93" s="283" t="s">
        <v>2369</v>
      </c>
      <c r="E93" s="217" t="s">
        <v>906</v>
      </c>
      <c r="F93" s="217" t="str">
        <f ca="1">IF(ISERROR($V93),"",OFFSET('Smelter Look-up'!$E$4,$V93-4,0))</f>
        <v>CID001326</v>
      </c>
      <c r="G93" s="217" t="str">
        <f ca="1">IF(C93=$X$4,"Enter smelter details",IF(ISERROR($V93),"",OFFSET('Smelter Look-up'!$F$4,$V93-4,0)))</f>
        <v>RMI</v>
      </c>
      <c r="H93" s="218" t="s">
        <v>15724</v>
      </c>
      <c r="I93" s="219" t="s">
        <v>1669</v>
      </c>
      <c r="J93" s="219" t="s">
        <v>10360</v>
      </c>
      <c r="K93" s="273"/>
      <c r="L93" s="273"/>
      <c r="M93" s="273"/>
      <c r="N93" s="273" t="s">
        <v>15725</v>
      </c>
      <c r="O93" s="273" t="s">
        <v>15726</v>
      </c>
      <c r="P93" s="220"/>
      <c r="Q93" s="274" t="s">
        <v>15513</v>
      </c>
      <c r="R93" s="217" t="str">
        <f ca="1">IF(ISERROR($V93),"",OFFSET('Smelter Look-up'!$C$4,$V93-4,0)&amp;"")</f>
        <v>OJSC "The Gulidov Krasnoyarsk Non-Ferrous Metals Plant" (OJSC Krastsvetmet)</v>
      </c>
      <c r="S93" s="225" t="str">
        <f t="shared" ca="1" si="12"/>
        <v>RU</v>
      </c>
      <c r="T93" s="225" t="str">
        <f ca="1">IF(B93="","",IF(ISERROR(MATCH($J93,SorP!$B$1:$B$6230,0)),"",INDIRECT("'SorP'!$A$"&amp;MATCH($J93,SorP!$B$1:$B$6230,0))))</f>
        <v>RU-KYA</v>
      </c>
      <c r="U93" s="241"/>
      <c r="V93" s="275">
        <f>IF(C93="",NA(),MATCH($B93&amp;$C93,'Smelter Look-up'!$J:$J,0))</f>
        <v>181</v>
      </c>
      <c r="W93" s="276"/>
      <c r="X93" s="276">
        <f t="shared" si="13"/>
        <v>0</v>
      </c>
      <c r="Y93" s="276"/>
      <c r="Z93" s="276"/>
      <c r="AB93" s="278" t="str">
        <f t="shared" si="14"/>
        <v>GoldOJSC "The Gulidov Krasnoyarsk Non-Ferrous Metals Plant" (OJSC Krastsvetmet)</v>
      </c>
    </row>
    <row r="94" spans="1:28" s="277" customFormat="1" ht="302.39999999999998">
      <c r="A94" s="216" t="s">
        <v>732</v>
      </c>
      <c r="B94" s="217" t="s">
        <v>1153</v>
      </c>
      <c r="C94" s="221" t="s">
        <v>2260</v>
      </c>
      <c r="D94" s="283" t="s">
        <v>2260</v>
      </c>
      <c r="E94" s="217" t="s">
        <v>1131</v>
      </c>
      <c r="F94" s="217" t="str">
        <f ca="1">IF(ISERROR($V94),"",OFFSET('Smelter Look-up'!$E$4,$V94-4,0))</f>
        <v>CID001325</v>
      </c>
      <c r="G94" s="217" t="str">
        <f ca="1">IF(C94=$X$4,"Enter smelter details",IF(ISERROR($V94),"",OFFSET('Smelter Look-up'!$F$4,$V94-4,0)))</f>
        <v>RMI</v>
      </c>
      <c r="H94" s="218" t="s">
        <v>15727</v>
      </c>
      <c r="I94" s="219" t="s">
        <v>1667</v>
      </c>
      <c r="J94" s="219" t="s">
        <v>1668</v>
      </c>
      <c r="K94" s="273"/>
      <c r="L94" s="273"/>
      <c r="M94" s="273"/>
      <c r="N94" s="273" t="s">
        <v>15728</v>
      </c>
      <c r="O94" s="273" t="s">
        <v>15729</v>
      </c>
      <c r="P94" s="220"/>
      <c r="Q94" s="274" t="s">
        <v>15513</v>
      </c>
      <c r="R94" s="217" t="str">
        <f ca="1">IF(ISERROR($V94),"",OFFSET('Smelter Look-up'!$C$4,$V94-4,0)&amp;"")</f>
        <v>Ohura Precious Metal Industry Co., Ltd.</v>
      </c>
      <c r="S94" s="225" t="str">
        <f t="shared" ca="1" si="12"/>
        <v>JP</v>
      </c>
      <c r="T94" s="225" t="str">
        <f ca="1">IF(B94="","",IF(ISERROR(MATCH($J94,SorP!$B$1:$B$6230,0)),"",INDIRECT("'SorP'!$A$"&amp;MATCH($J94,SorP!$B$1:$B$6230,0))))</f>
        <v>JP-29</v>
      </c>
      <c r="U94" s="241"/>
      <c r="V94" s="275">
        <f>IF(C94="",NA(),MATCH($B94&amp;$C94,'Smelter Look-up'!$J:$J,0))</f>
        <v>180</v>
      </c>
      <c r="W94" s="276"/>
      <c r="X94" s="276">
        <f t="shared" si="13"/>
        <v>0</v>
      </c>
      <c r="Y94" s="276"/>
      <c r="Z94" s="276"/>
      <c r="AB94" s="278" t="str">
        <f t="shared" si="14"/>
        <v>GoldOhura Precious Metal Industry Co., Ltd.</v>
      </c>
    </row>
    <row r="95" spans="1:28" s="277" customFormat="1" ht="315">
      <c r="A95" s="216" t="s">
        <v>731</v>
      </c>
      <c r="B95" s="217" t="s">
        <v>1153</v>
      </c>
      <c r="C95" s="221" t="s">
        <v>2259</v>
      </c>
      <c r="D95" s="283" t="s">
        <v>2259</v>
      </c>
      <c r="E95" s="217" t="s">
        <v>1131</v>
      </c>
      <c r="F95" s="217" t="str">
        <f ca="1">IF(ISERROR($V95),"",OFFSET('Smelter Look-up'!$E$4,$V95-4,0))</f>
        <v>CID001259</v>
      </c>
      <c r="G95" s="217" t="str">
        <f ca="1">IF(C95=$X$4,"Enter smelter details",IF(ISERROR($V95),"",OFFSET('Smelter Look-up'!$F$4,$V95-4,0)))</f>
        <v>RMI</v>
      </c>
      <c r="H95" s="218" t="s">
        <v>15730</v>
      </c>
      <c r="I95" s="219" t="s">
        <v>1664</v>
      </c>
      <c r="J95" s="219" t="s">
        <v>1665</v>
      </c>
      <c r="K95" s="273"/>
      <c r="L95" s="273"/>
      <c r="M95" s="273"/>
      <c r="N95" s="273" t="s">
        <v>15731</v>
      </c>
      <c r="O95" s="273" t="s">
        <v>15732</v>
      </c>
      <c r="P95" s="220"/>
      <c r="Q95" s="274" t="s">
        <v>15513</v>
      </c>
      <c r="R95" s="217" t="str">
        <f ca="1">IF(ISERROR($V95),"",OFFSET('Smelter Look-up'!$C$4,$V95-4,0)&amp;"")</f>
        <v>Nihon Material Co., Ltd.</v>
      </c>
      <c r="S95" s="225" t="str">
        <f t="shared" ca="1" si="12"/>
        <v>JP</v>
      </c>
      <c r="T95" s="225" t="str">
        <f ca="1">IF(B95="","",IF(ISERROR(MATCH($J95,SorP!$B$1:$B$6230,0)),"",INDIRECT("'SorP'!$A$"&amp;MATCH($J95,SorP!$B$1:$B$6230,0))))</f>
        <v>JP-12</v>
      </c>
      <c r="U95" s="241"/>
      <c r="V95" s="275">
        <f>IF(C95="",NA(),MATCH($B95&amp;$C95,'Smelter Look-up'!$J:$J,0))</f>
        <v>175</v>
      </c>
      <c r="W95" s="276"/>
      <c r="X95" s="276">
        <f t="shared" si="13"/>
        <v>0</v>
      </c>
      <c r="Y95" s="276"/>
      <c r="Z95" s="276"/>
      <c r="AB95" s="278" t="str">
        <f t="shared" si="14"/>
        <v>GoldNihon Material Co., Ltd.</v>
      </c>
    </row>
    <row r="96" spans="1:28" s="277" customFormat="1" ht="88.2">
      <c r="A96" s="216" t="s">
        <v>730</v>
      </c>
      <c r="B96" s="217" t="s">
        <v>1153</v>
      </c>
      <c r="C96" s="221" t="s">
        <v>1254</v>
      </c>
      <c r="D96" s="283" t="s">
        <v>1254</v>
      </c>
      <c r="E96" s="217" t="s">
        <v>914</v>
      </c>
      <c r="F96" s="217" t="str">
        <f ca="1">IF(ISERROR($V96),"",OFFSET('Smelter Look-up'!$E$4,$V96-4,0))</f>
        <v>CID001236</v>
      </c>
      <c r="G96" s="217" t="str">
        <f ca="1">IF(C96=$X$4,"Enter smelter details",IF(ISERROR($V96),"",OFFSET('Smelter Look-up'!$F$4,$V96-4,0)))</f>
        <v>RMI</v>
      </c>
      <c r="H96" s="218" t="s">
        <v>15733</v>
      </c>
      <c r="I96" s="219" t="s">
        <v>1663</v>
      </c>
      <c r="J96" s="219" t="s">
        <v>12344</v>
      </c>
      <c r="K96" s="273"/>
      <c r="L96" s="273"/>
      <c r="M96" s="273"/>
      <c r="N96" s="273" t="s">
        <v>15734</v>
      </c>
      <c r="O96" s="273" t="s">
        <v>15735</v>
      </c>
      <c r="P96" s="220"/>
      <c r="Q96" s="274" t="s">
        <v>15513</v>
      </c>
      <c r="R96" s="217" t="str">
        <f ca="1">IF(ISERROR($V96),"",OFFSET('Smelter Look-up'!$C$4,$V96-4,0)&amp;"")</f>
        <v>Navoi Mining and Metallurgical Combinat</v>
      </c>
      <c r="S96" s="225" t="str">
        <f t="shared" ca="1" si="12"/>
        <v>UZ</v>
      </c>
      <c r="T96" s="225" t="str">
        <f ca="1">IF(B96="","",IF(ISERROR(MATCH($J96,SorP!$B$1:$B$6230,0)),"",INDIRECT("'SorP'!$A$"&amp;MATCH($J96,SorP!$B$1:$B$6230,0))))</f>
        <v>UZ-NW</v>
      </c>
      <c r="U96" s="241"/>
      <c r="V96" s="275">
        <f>IF(C96="",NA(),MATCH($B96&amp;$C96,'Smelter Look-up'!$J:$J,0))</f>
        <v>173</v>
      </c>
      <c r="W96" s="276"/>
      <c r="X96" s="276">
        <f t="shared" si="13"/>
        <v>0</v>
      </c>
      <c r="Y96" s="276"/>
      <c r="Z96" s="276"/>
      <c r="AB96" s="278" t="str">
        <f t="shared" si="14"/>
        <v>GoldNavoi Mining and Metallurgical Combinat</v>
      </c>
    </row>
    <row r="97" spans="1:28" s="277" customFormat="1" ht="163.80000000000001">
      <c r="A97" s="216" t="s">
        <v>729</v>
      </c>
      <c r="B97" s="217" t="s">
        <v>1153</v>
      </c>
      <c r="C97" s="221" t="s">
        <v>12758</v>
      </c>
      <c r="D97" s="283" t="s">
        <v>12758</v>
      </c>
      <c r="E97" s="217" t="s">
        <v>912</v>
      </c>
      <c r="F97" s="217" t="str">
        <f ca="1">IF(ISERROR($V97),"",OFFSET('Smelter Look-up'!$E$4,$V97-4,0))</f>
        <v>CID001220</v>
      </c>
      <c r="G97" s="217" t="str">
        <f ca="1">IF(C97=$X$4,"Enter smelter details",IF(ISERROR($V97),"",OFFSET('Smelter Look-up'!$F$4,$V97-4,0)))</f>
        <v>RMI</v>
      </c>
      <c r="H97" s="218" t="s">
        <v>15736</v>
      </c>
      <c r="I97" s="219" t="s">
        <v>1662</v>
      </c>
      <c r="J97" s="219" t="s">
        <v>11593</v>
      </c>
      <c r="K97" s="273"/>
      <c r="L97" s="273"/>
      <c r="M97" s="273"/>
      <c r="N97" s="273" t="s">
        <v>15737</v>
      </c>
      <c r="O97" s="273" t="s">
        <v>15738</v>
      </c>
      <c r="P97" s="220"/>
      <c r="Q97" s="274" t="s">
        <v>15513</v>
      </c>
      <c r="R97" s="217" t="str">
        <f ca="1">IF(ISERROR($V97),"",OFFSET('Smelter Look-up'!$C$4,$V97-4,0)&amp;"")</f>
        <v>Nadir Metal Rafineri San. Ve Tic. A.S.</v>
      </c>
      <c r="S97" s="225" t="str">
        <f t="shared" ca="1" si="12"/>
        <v>TR</v>
      </c>
      <c r="T97" s="225" t="str">
        <f ca="1">IF(B97="","",IF(ISERROR(MATCH($J97,SorP!$B$1:$B$6230,0)),"",INDIRECT("'SorP'!$A$"&amp;MATCH($J97,SorP!$B$1:$B$6230,0))))</f>
        <v>TR-34</v>
      </c>
      <c r="U97" s="241"/>
      <c r="V97" s="275">
        <f>IF(C97="",NA(),MATCH($B97&amp;$C97,'Smelter Look-up'!$J:$J,0))</f>
        <v>171</v>
      </c>
      <c r="W97" s="276"/>
      <c r="X97" s="276">
        <f t="shared" si="13"/>
        <v>0</v>
      </c>
      <c r="Y97" s="276"/>
      <c r="Z97" s="276"/>
      <c r="AB97" s="278" t="str">
        <f t="shared" si="14"/>
        <v>GoldNadir Metal Rafineri San. Ve Tic. A.S.</v>
      </c>
    </row>
    <row r="98" spans="1:28" s="277" customFormat="1" ht="189">
      <c r="A98" s="216" t="s">
        <v>728</v>
      </c>
      <c r="B98" s="217" t="s">
        <v>1153</v>
      </c>
      <c r="C98" s="221" t="s">
        <v>934</v>
      </c>
      <c r="D98" s="283" t="s">
        <v>934</v>
      </c>
      <c r="E98" s="217" t="s">
        <v>906</v>
      </c>
      <c r="F98" s="217" t="str">
        <f ca="1">IF(ISERROR($V98),"",OFFSET('Smelter Look-up'!$E$4,$V98-4,0))</f>
        <v>CID001204</v>
      </c>
      <c r="G98" s="217" t="str">
        <f ca="1">IF(C98=$X$4,"Enter smelter details",IF(ISERROR($V98),"",OFFSET('Smelter Look-up'!$F$4,$V98-4,0)))</f>
        <v>RMI</v>
      </c>
      <c r="H98" s="218" t="s">
        <v>15739</v>
      </c>
      <c r="I98" s="219" t="s">
        <v>1661</v>
      </c>
      <c r="J98" s="219" t="s">
        <v>10217</v>
      </c>
      <c r="K98" s="273"/>
      <c r="L98" s="273"/>
      <c r="M98" s="273"/>
      <c r="N98" s="273" t="s">
        <v>15740</v>
      </c>
      <c r="O98" s="273" t="s">
        <v>15741</v>
      </c>
      <c r="P98" s="220"/>
      <c r="Q98" s="274" t="s">
        <v>15513</v>
      </c>
      <c r="R98" s="217" t="str">
        <f ca="1">IF(ISERROR($V98),"",OFFSET('Smelter Look-up'!$C$4,$V98-4,0)&amp;"")</f>
        <v>Moscow Special Alloys Processing Plant</v>
      </c>
      <c r="S98" s="225" t="str">
        <f t="shared" ca="1" si="12"/>
        <v>RU</v>
      </c>
      <c r="T98" s="225" t="str">
        <f ca="1">IF(B98="","",IF(ISERROR(MATCH($J98,SorP!$B$1:$B$6230,0)),"",INDIRECT("'SorP'!$A$"&amp;MATCH($J98,SorP!$B$1:$B$6230,0))))</f>
        <v>RU-MOW</v>
      </c>
      <c r="U98" s="241"/>
      <c r="V98" s="275">
        <f>IF(C98="",NA(),MATCH($B98&amp;$C98,'Smelter Look-up'!$J:$J,0))</f>
        <v>170</v>
      </c>
      <c r="W98" s="276"/>
      <c r="X98" s="276">
        <f t="shared" si="13"/>
        <v>0</v>
      </c>
      <c r="Y98" s="276"/>
      <c r="Z98" s="276"/>
      <c r="AB98" s="278" t="str">
        <f t="shared" si="14"/>
        <v>GoldMoscow Special Alloys Processing Plant</v>
      </c>
    </row>
    <row r="99" spans="1:28" s="277" customFormat="1" ht="176.4">
      <c r="A99" s="216" t="s">
        <v>727</v>
      </c>
      <c r="B99" s="217" t="s">
        <v>1153</v>
      </c>
      <c r="C99" s="221" t="s">
        <v>1253</v>
      </c>
      <c r="D99" s="283" t="s">
        <v>1253</v>
      </c>
      <c r="E99" s="217" t="s">
        <v>1131</v>
      </c>
      <c r="F99" s="217" t="str">
        <f ca="1">IF(ISERROR($V99),"",OFFSET('Smelter Look-up'!$E$4,$V99-4,0))</f>
        <v>CID001193</v>
      </c>
      <c r="G99" s="217" t="str">
        <f ca="1">IF(C99=$X$4,"Enter smelter details",IF(ISERROR($V99),"",OFFSET('Smelter Look-up'!$F$4,$V99-4,0)))</f>
        <v>RMI</v>
      </c>
      <c r="H99" s="218" t="s">
        <v>15742</v>
      </c>
      <c r="I99" s="219" t="s">
        <v>1659</v>
      </c>
      <c r="J99" s="219" t="s">
        <v>1658</v>
      </c>
      <c r="K99" s="273"/>
      <c r="L99" s="273"/>
      <c r="M99" s="273"/>
      <c r="N99" s="273" t="s">
        <v>15743</v>
      </c>
      <c r="O99" s="273" t="s">
        <v>15744</v>
      </c>
      <c r="P99" s="220"/>
      <c r="Q99" s="274" t="s">
        <v>15513</v>
      </c>
      <c r="R99" s="217" t="str">
        <f ca="1">IF(ISERROR($V99),"",OFFSET('Smelter Look-up'!$C$4,$V99-4,0)&amp;"")</f>
        <v>Mitsui Mining and Smelting Co., Ltd.</v>
      </c>
      <c r="S99" s="225" t="str">
        <f t="shared" ca="1" si="12"/>
        <v>JP</v>
      </c>
      <c r="T99" s="225" t="str">
        <f ca="1">IF(B99="","",IF(ISERROR(MATCH($J99,SorP!$B$1:$B$6230,0)),"",INDIRECT("'SorP'!$A$"&amp;MATCH($J99,SorP!$B$1:$B$6230,0))))</f>
        <v>JP-34</v>
      </c>
      <c r="U99" s="241"/>
      <c r="V99" s="275">
        <f>IF(C99="",NA(),MATCH($B99&amp;$C99,'Smelter Look-up'!$J:$J,0))</f>
        <v>166</v>
      </c>
      <c r="W99" s="276"/>
      <c r="X99" s="276">
        <f t="shared" si="13"/>
        <v>0</v>
      </c>
      <c r="Y99" s="276"/>
      <c r="Z99" s="276"/>
      <c r="AB99" s="278" t="str">
        <f t="shared" si="14"/>
        <v>GoldMitsui Mining and Smelting Co., Ltd.</v>
      </c>
    </row>
    <row r="100" spans="1:28" s="277" customFormat="1" ht="277.2">
      <c r="A100" s="216" t="s">
        <v>726</v>
      </c>
      <c r="B100" s="217" t="s">
        <v>1153</v>
      </c>
      <c r="C100" s="221" t="s">
        <v>1187</v>
      </c>
      <c r="D100" s="283" t="s">
        <v>1187</v>
      </c>
      <c r="E100" s="217" t="s">
        <v>1131</v>
      </c>
      <c r="F100" s="217" t="str">
        <f ca="1">IF(ISERROR($V100),"",OFFSET('Smelter Look-up'!$E$4,$V100-4,0))</f>
        <v>CID001188</v>
      </c>
      <c r="G100" s="217" t="str">
        <f ca="1">IF(C100=$X$4,"Enter smelter details",IF(ISERROR($V100),"",OFFSET('Smelter Look-up'!$F$4,$V100-4,0)))</f>
        <v>RMI</v>
      </c>
      <c r="H100" s="218" t="s">
        <v>15745</v>
      </c>
      <c r="I100" s="219" t="s">
        <v>1571</v>
      </c>
      <c r="J100" s="219" t="s">
        <v>1571</v>
      </c>
      <c r="K100" s="273"/>
      <c r="L100" s="273"/>
      <c r="M100" s="273"/>
      <c r="N100" s="273" t="s">
        <v>15746</v>
      </c>
      <c r="O100" s="273" t="s">
        <v>15747</v>
      </c>
      <c r="P100" s="220"/>
      <c r="Q100" s="274" t="s">
        <v>15513</v>
      </c>
      <c r="R100" s="217" t="str">
        <f ca="1">IF(ISERROR($V100),"",OFFSET('Smelter Look-up'!$C$4,$V100-4,0)&amp;"")</f>
        <v>Mitsubishi Materials Corporation</v>
      </c>
      <c r="S100" s="225" t="str">
        <f t="shared" ca="1" si="12"/>
        <v>JP</v>
      </c>
      <c r="T100" s="225" t="str">
        <f ca="1">IF(B100="","",IF(ISERROR(MATCH($J100,SorP!$B$1:$B$6230,0)),"",INDIRECT("'SorP'!$A$"&amp;MATCH($J100,SorP!$B$1:$B$6230,0))))</f>
        <v>JP-13</v>
      </c>
      <c r="U100" s="241"/>
      <c r="V100" s="275">
        <f>IF(C100="",NA(),MATCH($B100&amp;$C100,'Smelter Look-up'!$J:$J,0))</f>
        <v>164</v>
      </c>
      <c r="W100" s="276"/>
      <c r="X100" s="276">
        <f t="shared" si="13"/>
        <v>0</v>
      </c>
      <c r="Y100" s="276"/>
      <c r="Z100" s="276"/>
      <c r="AB100" s="278" t="str">
        <f t="shared" si="14"/>
        <v>GoldMitsubishi Materials Corporation</v>
      </c>
    </row>
    <row r="101" spans="1:28" s="277" customFormat="1" ht="176.4">
      <c r="A101" s="216" t="s">
        <v>725</v>
      </c>
      <c r="B101" s="217" t="s">
        <v>1153</v>
      </c>
      <c r="C101" s="221" t="s">
        <v>12756</v>
      </c>
      <c r="D101" s="283" t="s">
        <v>12756</v>
      </c>
      <c r="E101" s="217" t="s">
        <v>1136</v>
      </c>
      <c r="F101" s="217" t="str">
        <f ca="1">IF(ISERROR($V101),"",OFFSET('Smelter Look-up'!$E$4,$V101-4,0))</f>
        <v>CID001161</v>
      </c>
      <c r="G101" s="217" t="str">
        <f ca="1">IF(C101=$X$4,"Enter smelter details",IF(ISERROR($V101),"",OFFSET('Smelter Look-up'!$F$4,$V101-4,0)))</f>
        <v>RMI</v>
      </c>
      <c r="H101" s="218" t="s">
        <v>15748</v>
      </c>
      <c r="I101" s="219" t="s">
        <v>1656</v>
      </c>
      <c r="J101" s="219" t="s">
        <v>13216</v>
      </c>
      <c r="K101" s="273"/>
      <c r="L101" s="273"/>
      <c r="M101" s="273"/>
      <c r="N101" s="273" t="s">
        <v>15749</v>
      </c>
      <c r="O101" s="273" t="s">
        <v>15750</v>
      </c>
      <c r="P101" s="220"/>
      <c r="Q101" s="274" t="s">
        <v>15513</v>
      </c>
      <c r="R101" s="217" t="str">
        <f ca="1">IF(ISERROR($V101),"",OFFSET('Smelter Look-up'!$C$4,$V101-4,0)&amp;"")</f>
        <v>Metalurgica Met-Mex Penoles S.A. De C.V.</v>
      </c>
      <c r="S101" s="225" t="str">
        <f t="shared" ca="1" si="12"/>
        <v>MX</v>
      </c>
      <c r="T101" s="225" t="str">
        <f ca="1">IF(B101="","",IF(ISERROR(MATCH($J101,SorP!$B$1:$B$6230,0)),"",INDIRECT("'SorP'!$A$"&amp;MATCH($J101,SorP!$B$1:$B$6230,0))))</f>
        <v>MX-COA</v>
      </c>
      <c r="U101" s="241"/>
      <c r="V101" s="275">
        <f>IF(C101="",NA(),MATCH($B101&amp;$C101,'Smelter Look-up'!$J:$J,0))</f>
        <v>160</v>
      </c>
      <c r="W101" s="276"/>
      <c r="X101" s="276">
        <f t="shared" si="13"/>
        <v>0</v>
      </c>
      <c r="Y101" s="276"/>
      <c r="Z101" s="276"/>
      <c r="AB101" s="278" t="str">
        <f t="shared" si="14"/>
        <v>GoldMetalurgica Met-Mex Penoles S.A. De C.V.</v>
      </c>
    </row>
    <row r="102" spans="1:28" s="277" customFormat="1" ht="264.60000000000002">
      <c r="A102" s="216" t="s">
        <v>724</v>
      </c>
      <c r="B102" s="217" t="s">
        <v>1153</v>
      </c>
      <c r="C102" s="221" t="s">
        <v>1252</v>
      </c>
      <c r="D102" s="283" t="s">
        <v>1252</v>
      </c>
      <c r="E102" s="217" t="s">
        <v>2576</v>
      </c>
      <c r="F102" s="217" t="str">
        <f ca="1">IF(ISERROR($V102),"",OFFSET('Smelter Look-up'!$E$4,$V102-4,0))</f>
        <v>CID001157</v>
      </c>
      <c r="G102" s="217" t="str">
        <f ca="1">IF(C102=$X$4,"Enter smelter details",IF(ISERROR($V102),"",OFFSET('Smelter Look-up'!$F$4,$V102-4,0)))</f>
        <v>RMI</v>
      </c>
      <c r="H102" s="218" t="s">
        <v>15751</v>
      </c>
      <c r="I102" s="219" t="s">
        <v>1654</v>
      </c>
      <c r="J102" s="219" t="s">
        <v>1655</v>
      </c>
      <c r="K102" s="273"/>
      <c r="L102" s="273"/>
      <c r="M102" s="273"/>
      <c r="N102" s="273" t="s">
        <v>15752</v>
      </c>
      <c r="O102" s="273" t="s">
        <v>15753</v>
      </c>
      <c r="P102" s="220"/>
      <c r="Q102" s="274" t="s">
        <v>15513</v>
      </c>
      <c r="R102" s="217" t="str">
        <f ca="1">IF(ISERROR($V102),"",OFFSET('Smelter Look-up'!$C$4,$V102-4,0)&amp;"")</f>
        <v>Metalor USA Refining Corporation</v>
      </c>
      <c r="S102" s="225" t="str">
        <f t="shared" ref="S102:S132" ca="1" si="15">IF(B102="","",IF(ISERROR(MATCH($E102,CL,0)),"Unknown",INDIRECT("'C'!$A$"&amp;MATCH($E102,CL,0)+1)))</f>
        <v>US</v>
      </c>
      <c r="T102" s="225" t="str">
        <f ca="1">IF(B102="","",IF(ISERROR(MATCH($J102,SorP!$B$1:$B$6230,0)),"",INDIRECT("'SorP'!$A$"&amp;MATCH($J102,SorP!$B$1:$B$6230,0))))</f>
        <v>US-MA</v>
      </c>
      <c r="U102" s="241"/>
      <c r="V102" s="275">
        <f>IF(C102="",NA(),MATCH($B102&amp;$C102,'Smelter Look-up'!$J:$J,0))</f>
        <v>159</v>
      </c>
      <c r="W102" s="276"/>
      <c r="X102" s="276">
        <f t="shared" ref="X102:X132" si="16">IF(AND(C102="Smelter not listed",OR(LEN(D102)=0,LEN(E102)=0)),1,0)</f>
        <v>0</v>
      </c>
      <c r="Y102" s="276"/>
      <c r="Z102" s="276"/>
      <c r="AB102" s="278" t="str">
        <f t="shared" ref="AB102:AB132" si="17">B102&amp;C102</f>
        <v>GoldMetalor USA Refining Corporation</v>
      </c>
    </row>
    <row r="103" spans="1:28" s="277" customFormat="1" ht="390.6">
      <c r="A103" s="216" t="s">
        <v>723</v>
      </c>
      <c r="B103" s="217" t="s">
        <v>1153</v>
      </c>
      <c r="C103" s="221" t="s">
        <v>2431</v>
      </c>
      <c r="D103" s="283" t="s">
        <v>2431</v>
      </c>
      <c r="E103" s="217" t="s">
        <v>1121</v>
      </c>
      <c r="F103" s="217" t="str">
        <f ca="1">IF(ISERROR($V103),"",OFFSET('Smelter Look-up'!$E$4,$V103-4,0))</f>
        <v>CID001153</v>
      </c>
      <c r="G103" s="217" t="str">
        <f ca="1">IF(C103=$X$4,"Enter smelter details",IF(ISERROR($V103),"",OFFSET('Smelter Look-up'!$F$4,$V103-4,0)))</f>
        <v>RMI</v>
      </c>
      <c r="H103" s="218" t="s">
        <v>15754</v>
      </c>
      <c r="I103" s="219" t="s">
        <v>1652</v>
      </c>
      <c r="J103" s="219" t="s">
        <v>1653</v>
      </c>
      <c r="K103" s="273"/>
      <c r="L103" s="273"/>
      <c r="M103" s="273"/>
      <c r="N103" s="273" t="s">
        <v>15755</v>
      </c>
      <c r="O103" s="273" t="s">
        <v>15756</v>
      </c>
      <c r="P103" s="220"/>
      <c r="Q103" s="274" t="s">
        <v>15513</v>
      </c>
      <c r="R103" s="217" t="str">
        <f ca="1">IF(ISERROR($V103),"",OFFSET('Smelter Look-up'!$C$4,$V103-4,0)&amp;"")</f>
        <v>Metalor Technologies S.A.</v>
      </c>
      <c r="S103" s="225" t="str">
        <f t="shared" ca="1" si="15"/>
        <v>CH</v>
      </c>
      <c r="T103" s="225" t="str">
        <f ca="1">IF(B103="","",IF(ISERROR(MATCH($J103,SorP!$B$1:$B$6230,0)),"",INDIRECT("'SorP'!$A$"&amp;MATCH($J103,SorP!$B$1:$B$6230,0))))</f>
        <v>CH-NE</v>
      </c>
      <c r="U103" s="241"/>
      <c r="V103" s="275">
        <f>IF(C103="",NA(),MATCH($B103&amp;$C103,'Smelter Look-up'!$J:$J,0))</f>
        <v>158</v>
      </c>
      <c r="W103" s="276"/>
      <c r="X103" s="276">
        <f t="shared" si="16"/>
        <v>0</v>
      </c>
      <c r="Y103" s="276"/>
      <c r="Z103" s="276"/>
      <c r="AB103" s="278" t="str">
        <f t="shared" si="17"/>
        <v>GoldMetalor Technologies S.A.</v>
      </c>
    </row>
    <row r="104" spans="1:28" s="277" customFormat="1" ht="214.2">
      <c r="A104" s="216" t="s">
        <v>722</v>
      </c>
      <c r="B104" s="217" t="s">
        <v>1153</v>
      </c>
      <c r="C104" s="221" t="s">
        <v>2256</v>
      </c>
      <c r="D104" s="283" t="s">
        <v>2256</v>
      </c>
      <c r="E104" s="217" t="s">
        <v>909</v>
      </c>
      <c r="F104" s="217" t="str">
        <f ca="1">IF(ISERROR($V104),"",OFFSET('Smelter Look-up'!$E$4,$V104-4,0))</f>
        <v>CID001152</v>
      </c>
      <c r="G104" s="217" t="str">
        <f ca="1">IF(C104=$X$4,"Enter smelter details",IF(ISERROR($V104),"",OFFSET('Smelter Look-up'!$F$4,$V104-4,0)))</f>
        <v>RMI</v>
      </c>
      <c r="H104" s="218" t="s">
        <v>15757</v>
      </c>
      <c r="I104" s="219" t="s">
        <v>13053</v>
      </c>
      <c r="J104" s="219" t="s">
        <v>10620</v>
      </c>
      <c r="K104" s="273"/>
      <c r="L104" s="273"/>
      <c r="M104" s="273"/>
      <c r="N104" s="273" t="s">
        <v>15758</v>
      </c>
      <c r="O104" s="273" t="s">
        <v>15759</v>
      </c>
      <c r="P104" s="220"/>
      <c r="Q104" s="274" t="s">
        <v>15513</v>
      </c>
      <c r="R104" s="217" t="str">
        <f ca="1">IF(ISERROR($V104),"",OFFSET('Smelter Look-up'!$C$4,$V104-4,0)&amp;"")</f>
        <v>Metalor Technologies (Singapore) Pte., Ltd.</v>
      </c>
      <c r="S104" s="225" t="str">
        <f t="shared" ca="1" si="15"/>
        <v>SG</v>
      </c>
      <c r="T104" s="225" t="str">
        <f ca="1">IF(B104="","",IF(ISERROR(MATCH($J104,SorP!$B$1:$B$6230,0)),"",INDIRECT("'SorP'!$A$"&amp;MATCH($J104,SorP!$B$1:$B$6230,0))))</f>
        <v>SG-05</v>
      </c>
      <c r="U104" s="241"/>
      <c r="V104" s="275">
        <f>IF(C104="",NA(),MATCH($B104&amp;$C104,'Smelter Look-up'!$J:$J,0))</f>
        <v>156</v>
      </c>
      <c r="W104" s="276"/>
      <c r="X104" s="276">
        <f t="shared" si="16"/>
        <v>0</v>
      </c>
      <c r="Y104" s="276"/>
      <c r="Z104" s="276"/>
      <c r="AB104" s="278" t="str">
        <f t="shared" si="17"/>
        <v>GoldMetalor Technologies (Singapore) Pte., Ltd.</v>
      </c>
    </row>
    <row r="105" spans="1:28" s="277" customFormat="1" ht="239.4">
      <c r="A105" s="216" t="s">
        <v>721</v>
      </c>
      <c r="B105" s="217" t="s">
        <v>1153</v>
      </c>
      <c r="C105" s="221" t="s">
        <v>2255</v>
      </c>
      <c r="D105" s="283" t="s">
        <v>2255</v>
      </c>
      <c r="E105" s="217" t="s">
        <v>1123</v>
      </c>
      <c r="F105" s="217" t="str">
        <f ca="1">IF(ISERROR($V105),"",OFFSET('Smelter Look-up'!$E$4,$V105-4,0))</f>
        <v>CID001149</v>
      </c>
      <c r="G105" s="217" t="str">
        <f ca="1">IF(C105=$X$4,"Enter smelter details",IF(ISERROR($V105),"",OFFSET('Smelter Look-up'!$F$4,$V105-4,0)))</f>
        <v>RMI</v>
      </c>
      <c r="H105" s="218" t="s">
        <v>15760</v>
      </c>
      <c r="I105" s="219" t="s">
        <v>1651</v>
      </c>
      <c r="J105" s="219" t="s">
        <v>14194</v>
      </c>
      <c r="K105" s="273"/>
      <c r="L105" s="273"/>
      <c r="M105" s="273"/>
      <c r="N105" s="273" t="s">
        <v>15761</v>
      </c>
      <c r="O105" s="273" t="s">
        <v>15762</v>
      </c>
      <c r="P105" s="220"/>
      <c r="Q105" s="274" t="s">
        <v>15513</v>
      </c>
      <c r="R105" s="217" t="str">
        <f ca="1">IF(ISERROR($V105),"",OFFSET('Smelter Look-up'!$C$4,$V105-4,0)&amp;"")</f>
        <v>Metalor Technologies (Hong Kong) Ltd.</v>
      </c>
      <c r="S105" s="225" t="str">
        <f t="shared" ca="1" si="15"/>
        <v>CN</v>
      </c>
      <c r="T105" s="225" t="str">
        <f ca="1">IF(B105="","",IF(ISERROR(MATCH($J105,SorP!$B$1:$B$6230,0)),"",INDIRECT("'SorP'!$A$"&amp;MATCH($J105,SorP!$B$1:$B$6230,0))))</f>
        <v>CN-HK</v>
      </c>
      <c r="U105" s="241"/>
      <c r="V105" s="275">
        <f>IF(C105="",NA(),MATCH($B105&amp;$C105,'Smelter Look-up'!$J:$J,0))</f>
        <v>155</v>
      </c>
      <c r="W105" s="276"/>
      <c r="X105" s="276">
        <f t="shared" si="16"/>
        <v>0</v>
      </c>
      <c r="Y105" s="276"/>
      <c r="Z105" s="276"/>
      <c r="AB105" s="278" t="str">
        <f t="shared" si="17"/>
        <v>GoldMetalor Technologies (Hong Kong) Ltd.</v>
      </c>
    </row>
    <row r="106" spans="1:28" s="277" customFormat="1" ht="176.4">
      <c r="A106" s="216" t="s">
        <v>1650</v>
      </c>
      <c r="B106" s="217" t="s">
        <v>1153</v>
      </c>
      <c r="C106" s="221" t="s">
        <v>1649</v>
      </c>
      <c r="D106" s="283" t="s">
        <v>1649</v>
      </c>
      <c r="E106" s="217" t="s">
        <v>1123</v>
      </c>
      <c r="F106" s="217" t="str">
        <f ca="1">IF(ISERROR($V106),"",OFFSET('Smelter Look-up'!$E$4,$V106-4,0))</f>
        <v>CID001147</v>
      </c>
      <c r="G106" s="217" t="str">
        <f ca="1">IF(C106=$X$4,"Enter smelter details",IF(ISERROR($V106),"",OFFSET('Smelter Look-up'!$F$4,$V106-4,0)))</f>
        <v>RMI</v>
      </c>
      <c r="H106" s="218" t="s">
        <v>15763</v>
      </c>
      <c r="I106" s="219" t="s">
        <v>15764</v>
      </c>
      <c r="J106" s="219" t="s">
        <v>13979</v>
      </c>
      <c r="K106" s="273"/>
      <c r="L106" s="273"/>
      <c r="M106" s="273"/>
      <c r="N106" s="273" t="s">
        <v>15765</v>
      </c>
      <c r="O106" s="273" t="s">
        <v>15766</v>
      </c>
      <c r="P106" s="220"/>
      <c r="Q106" s="274" t="s">
        <v>15513</v>
      </c>
      <c r="R106" s="217" t="str">
        <f ca="1">IF(ISERROR($V106),"",OFFSET('Smelter Look-up'!$C$4,$V106-4,0)&amp;"")</f>
        <v>Metalor Technologies (Suzhou) Ltd.</v>
      </c>
      <c r="S106" s="225" t="str">
        <f t="shared" ca="1" si="15"/>
        <v>CN</v>
      </c>
      <c r="T106" s="225" t="str">
        <f ca="1">IF(B106="","",IF(ISERROR(MATCH($J106,SorP!$B$1:$B$6230,0)),"",INDIRECT("'SorP'!$A$"&amp;MATCH($J106,SorP!$B$1:$B$6230,0))))</f>
        <v>CN-JS</v>
      </c>
      <c r="U106" s="241"/>
      <c r="V106" s="275">
        <f>IF(C106="",NA(),MATCH($B106&amp;$C106,'Smelter Look-up'!$J:$J,0))</f>
        <v>157</v>
      </c>
      <c r="W106" s="276"/>
      <c r="X106" s="276">
        <f t="shared" si="16"/>
        <v>0</v>
      </c>
      <c r="Y106" s="276"/>
      <c r="Z106" s="276"/>
      <c r="AB106" s="278" t="str">
        <f t="shared" si="17"/>
        <v>GoldMetalor Technologies (Suzhou) Ltd.</v>
      </c>
    </row>
    <row r="107" spans="1:28" s="277" customFormat="1" ht="289.8">
      <c r="A107" s="216" t="s">
        <v>720</v>
      </c>
      <c r="B107" s="217" t="s">
        <v>1153</v>
      </c>
      <c r="C107" s="221" t="s">
        <v>59</v>
      </c>
      <c r="D107" s="283" t="s">
        <v>59</v>
      </c>
      <c r="E107" s="217" t="s">
        <v>1131</v>
      </c>
      <c r="F107" s="217" t="str">
        <f ca="1">IF(ISERROR($V107),"",OFFSET('Smelter Look-up'!$E$4,$V107-4,0))</f>
        <v>CID001119</v>
      </c>
      <c r="G107" s="217" t="str">
        <f ca="1">IF(C107=$X$4,"Enter smelter details",IF(ISERROR($V107),"",OFFSET('Smelter Look-up'!$F$4,$V107-4,0)))</f>
        <v>RMI</v>
      </c>
      <c r="H107" s="218" t="s">
        <v>15767</v>
      </c>
      <c r="I107" s="219" t="s">
        <v>1648</v>
      </c>
      <c r="J107" s="219" t="s">
        <v>1610</v>
      </c>
      <c r="K107" s="273"/>
      <c r="L107" s="273"/>
      <c r="M107" s="273"/>
      <c r="N107" s="273" t="s">
        <v>15768</v>
      </c>
      <c r="O107" s="273" t="s">
        <v>15769</v>
      </c>
      <c r="P107" s="220"/>
      <c r="Q107" s="274" t="s">
        <v>15513</v>
      </c>
      <c r="R107" s="217" t="str">
        <f ca="1">IF(ISERROR($V107),"",OFFSET('Smelter Look-up'!$C$4,$V107-4,0)&amp;"")</f>
        <v>Matsuda Sangyo Co., Ltd.</v>
      </c>
      <c r="S107" s="225" t="str">
        <f t="shared" ca="1" si="15"/>
        <v>JP</v>
      </c>
      <c r="T107" s="225" t="str">
        <f ca="1">IF(B107="","",IF(ISERROR(MATCH($J107,SorP!$B$1:$B$6230,0)),"",INDIRECT("'SorP'!$A$"&amp;MATCH($J107,SorP!$B$1:$B$6230,0))))</f>
        <v>JP-11</v>
      </c>
      <c r="U107" s="241"/>
      <c r="V107" s="275">
        <f>IF(C107="",NA(),MATCH($B107&amp;$C107,'Smelter Look-up'!$J:$J,0))</f>
        <v>150</v>
      </c>
      <c r="W107" s="276"/>
      <c r="X107" s="276">
        <f t="shared" si="16"/>
        <v>0</v>
      </c>
      <c r="Y107" s="276"/>
      <c r="Z107" s="276"/>
      <c r="AB107" s="278" t="str">
        <f t="shared" si="17"/>
        <v>GoldMatsuda Sangyo Co., Ltd.</v>
      </c>
    </row>
    <row r="108" spans="1:28" s="277" customFormat="1" ht="264.60000000000002">
      <c r="A108" s="216" t="s">
        <v>719</v>
      </c>
      <c r="B108" s="217" t="s">
        <v>1153</v>
      </c>
      <c r="C108" s="221" t="s">
        <v>933</v>
      </c>
      <c r="D108" s="283" t="s">
        <v>933</v>
      </c>
      <c r="E108" s="217" t="s">
        <v>2576</v>
      </c>
      <c r="F108" s="217" t="str">
        <f ca="1">IF(ISERROR($V108),"",OFFSET('Smelter Look-up'!$E$4,$V108-4,0))</f>
        <v>CID001113</v>
      </c>
      <c r="G108" s="217" t="str">
        <f ca="1">IF(C108=$X$4,"Enter smelter details",IF(ISERROR($V108),"",OFFSET('Smelter Look-up'!$F$4,$V108-4,0)))</f>
        <v>RMI</v>
      </c>
      <c r="H108" s="218" t="s">
        <v>15770</v>
      </c>
      <c r="I108" s="219" t="s">
        <v>1646</v>
      </c>
      <c r="J108" s="219" t="s">
        <v>1647</v>
      </c>
      <c r="K108" s="273"/>
      <c r="L108" s="273"/>
      <c r="M108" s="273"/>
      <c r="N108" s="273" t="s">
        <v>15771</v>
      </c>
      <c r="O108" s="273" t="s">
        <v>15772</v>
      </c>
      <c r="P108" s="220"/>
      <c r="Q108" s="274" t="s">
        <v>15513</v>
      </c>
      <c r="R108" s="217" t="str">
        <f ca="1">IF(ISERROR($V108),"",OFFSET('Smelter Look-up'!$C$4,$V108-4,0)&amp;"")</f>
        <v>Materion</v>
      </c>
      <c r="S108" s="225" t="str">
        <f t="shared" ca="1" si="15"/>
        <v>US</v>
      </c>
      <c r="T108" s="225" t="str">
        <f ca="1">IF(B108="","",IF(ISERROR(MATCH($J108,SorP!$B$1:$B$6230,0)),"",INDIRECT("'SorP'!$A$"&amp;MATCH($J108,SorP!$B$1:$B$6230,0))))</f>
        <v>US-NY</v>
      </c>
      <c r="U108" s="241"/>
      <c r="V108" s="275">
        <f>IF(C108="",NA(),MATCH($B108&amp;$C108,'Smelter Look-up'!$J:$J,0))</f>
        <v>149</v>
      </c>
      <c r="W108" s="276"/>
      <c r="X108" s="276">
        <f t="shared" si="16"/>
        <v>0</v>
      </c>
      <c r="Y108" s="276"/>
      <c r="Z108" s="276"/>
      <c r="AB108" s="278" t="str">
        <f t="shared" si="17"/>
        <v>GoldMaterion</v>
      </c>
    </row>
    <row r="109" spans="1:28" s="277" customFormat="1" ht="88.2">
      <c r="A109" s="216" t="s">
        <v>718</v>
      </c>
      <c r="B109" s="217" t="s">
        <v>1153</v>
      </c>
      <c r="C109" s="221" t="s">
        <v>1644</v>
      </c>
      <c r="D109" s="283" t="s">
        <v>1644</v>
      </c>
      <c r="E109" s="217" t="s">
        <v>1123</v>
      </c>
      <c r="F109" s="217" t="str">
        <f ca="1">IF(ISERROR($V109),"",OFFSET('Smelter Look-up'!$E$4,$V109-4,0))</f>
        <v>CID001093</v>
      </c>
      <c r="G109" s="217" t="str">
        <f ca="1">IF(C109=$X$4,"Enter smelter details",IF(ISERROR($V109),"",OFFSET('Smelter Look-up'!$F$4,$V109-4,0)))</f>
        <v>RMI</v>
      </c>
      <c r="H109" s="218" t="s">
        <v>15773</v>
      </c>
      <c r="I109" s="219" t="s">
        <v>1645</v>
      </c>
      <c r="J109" s="219" t="s">
        <v>13968</v>
      </c>
      <c r="K109" s="273"/>
      <c r="L109" s="273"/>
      <c r="M109" s="273"/>
      <c r="N109" s="273"/>
      <c r="O109" s="273" t="s">
        <v>15774</v>
      </c>
      <c r="P109" s="220"/>
      <c r="Q109" s="274"/>
      <c r="R109" s="217" t="str">
        <f ca="1">IF(ISERROR($V109),"",OFFSET('Smelter Look-up'!$C$4,$V109-4,0)&amp;"")</f>
        <v>Luoyang Zijin Yinhui Gold Refinery Co., Ltd.</v>
      </c>
      <c r="S109" s="225" t="str">
        <f t="shared" ca="1" si="15"/>
        <v>CN</v>
      </c>
      <c r="T109" s="225" t="str">
        <f ca="1">IF(B109="","",IF(ISERROR(MATCH($J109,SorP!$B$1:$B$6230,0)),"",INDIRECT("'SorP'!$A$"&amp;MATCH($J109,SorP!$B$1:$B$6230,0))))</f>
        <v>CN-HA</v>
      </c>
      <c r="U109" s="241"/>
      <c r="V109" s="275">
        <f>IF(C109="",NA(),MATCH($B109&amp;$C109,'Smelter Look-up'!$J:$J,0))</f>
        <v>145</v>
      </c>
      <c r="W109" s="276"/>
      <c r="X109" s="276">
        <f t="shared" si="16"/>
        <v>0</v>
      </c>
      <c r="Y109" s="276"/>
      <c r="Z109" s="276"/>
      <c r="AB109" s="278" t="str">
        <f t="shared" si="17"/>
        <v>GoldLuoyang Zijin Yinhui Gold Refinery Co., Ltd.</v>
      </c>
    </row>
    <row r="110" spans="1:28" s="277" customFormat="1" ht="289.8">
      <c r="A110" s="216" t="s">
        <v>716</v>
      </c>
      <c r="B110" s="217" t="s">
        <v>1153</v>
      </c>
      <c r="C110" s="221" t="s">
        <v>58</v>
      </c>
      <c r="D110" s="283" t="s">
        <v>58</v>
      </c>
      <c r="E110" s="217" t="s">
        <v>1134</v>
      </c>
      <c r="F110" s="217" t="str">
        <f ca="1">IF(ISERROR($V110),"",OFFSET('Smelter Look-up'!$E$4,$V110-4,0))</f>
        <v>CID001078</v>
      </c>
      <c r="G110" s="217" t="str">
        <f ca="1">IF(C110=$X$4,"Enter smelter details",IF(ISERROR($V110),"",OFFSET('Smelter Look-up'!$F$4,$V110-4,0)))</f>
        <v>RMI</v>
      </c>
      <c r="H110" s="218" t="s">
        <v>15775</v>
      </c>
      <c r="I110" s="219" t="s">
        <v>1643</v>
      </c>
      <c r="J110" s="219" t="s">
        <v>13198</v>
      </c>
      <c r="K110" s="273"/>
      <c r="L110" s="273"/>
      <c r="M110" s="273"/>
      <c r="N110" s="273" t="s">
        <v>15776</v>
      </c>
      <c r="O110" s="273" t="s">
        <v>15777</v>
      </c>
      <c r="P110" s="220"/>
      <c r="Q110" s="274" t="s">
        <v>15513</v>
      </c>
      <c r="R110" s="217" t="str">
        <f ca="1">IF(ISERROR($V110),"",OFFSET('Smelter Look-up'!$C$4,$V110-4,0)&amp;"")</f>
        <v>LS-NIKKO Copper Inc.</v>
      </c>
      <c r="S110" s="225" t="str">
        <f t="shared" ca="1" si="15"/>
        <v>KR</v>
      </c>
      <c r="T110" s="225" t="str">
        <f ca="1">IF(B110="","",IF(ISERROR(MATCH($J110,SorP!$B$1:$B$6230,0)),"",INDIRECT("'SorP'!$A$"&amp;MATCH($J110,SorP!$B$1:$B$6230,0))))</f>
        <v>KR-31</v>
      </c>
      <c r="U110" s="241"/>
      <c r="V110" s="275">
        <f>IF(C110="",NA(),MATCH($B110&amp;$C110,'Smelter Look-up'!$J:$J,0))</f>
        <v>143</v>
      </c>
      <c r="W110" s="276"/>
      <c r="X110" s="276">
        <f t="shared" si="16"/>
        <v>0</v>
      </c>
      <c r="Y110" s="276"/>
      <c r="Z110" s="276"/>
      <c r="AB110" s="278" t="str">
        <f t="shared" si="17"/>
        <v>GoldLS-NIKKO Copper Inc.</v>
      </c>
    </row>
    <row r="111" spans="1:28" s="277" customFormat="1" ht="75.599999999999994">
      <c r="A111" s="216" t="s">
        <v>715</v>
      </c>
      <c r="B111" s="217" t="s">
        <v>1153</v>
      </c>
      <c r="C111" s="221" t="s">
        <v>2253</v>
      </c>
      <c r="D111" s="283" t="s">
        <v>2253</v>
      </c>
      <c r="E111" s="217" t="s">
        <v>1123</v>
      </c>
      <c r="F111" s="217" t="str">
        <f ca="1">IF(ISERROR($V111),"",OFFSET('Smelter Look-up'!$E$4,$V111-4,0))</f>
        <v>CID001058</v>
      </c>
      <c r="G111" s="217" t="str">
        <f ca="1">IF(C111=$X$4,"Enter smelter details",IF(ISERROR($V111),"",OFFSET('Smelter Look-up'!$F$4,$V111-4,0)))</f>
        <v>RMI</v>
      </c>
      <c r="H111" s="218" t="s">
        <v>15778</v>
      </c>
      <c r="I111" s="219" t="s">
        <v>1642</v>
      </c>
      <c r="J111" s="219" t="s">
        <v>13968</v>
      </c>
      <c r="K111" s="273"/>
      <c r="L111" s="273"/>
      <c r="M111" s="273"/>
      <c r="N111" s="273"/>
      <c r="O111" s="273" t="s">
        <v>15779</v>
      </c>
      <c r="P111" s="220"/>
      <c r="Q111" s="274"/>
      <c r="R111" s="217" t="str">
        <f ca="1">IF(ISERROR($V111),"",OFFSET('Smelter Look-up'!$C$4,$V111-4,0)&amp;"")</f>
        <v>Lingbao Jinyuan Tonghui Refinery Co., Ltd.</v>
      </c>
      <c r="S111" s="225" t="str">
        <f t="shared" ca="1" si="15"/>
        <v>CN</v>
      </c>
      <c r="T111" s="225" t="str">
        <f ca="1">IF(B111="","",IF(ISERROR(MATCH($J111,SorP!$B$1:$B$6230,0)),"",INDIRECT("'SorP'!$A$"&amp;MATCH($J111,SorP!$B$1:$B$6230,0))))</f>
        <v>CN-HA</v>
      </c>
      <c r="U111" s="241"/>
      <c r="V111" s="275">
        <f>IF(C111="",NA(),MATCH($B111&amp;$C111,'Smelter Look-up'!$J:$J,0))</f>
        <v>141</v>
      </c>
      <c r="W111" s="276"/>
      <c r="X111" s="276">
        <f t="shared" si="16"/>
        <v>0</v>
      </c>
      <c r="Y111" s="276"/>
      <c r="Z111" s="276"/>
      <c r="AB111" s="278" t="str">
        <f t="shared" si="17"/>
        <v>GoldLingbao Jinyuan Tonghui Refinery Co., Ltd.</v>
      </c>
    </row>
    <row r="112" spans="1:28" s="277" customFormat="1" ht="37.799999999999997">
      <c r="A112" s="216" t="s">
        <v>1413</v>
      </c>
      <c r="B112" s="217" t="s">
        <v>1153</v>
      </c>
      <c r="C112" s="221" t="s">
        <v>2430</v>
      </c>
      <c r="D112" s="283" t="s">
        <v>2430</v>
      </c>
      <c r="E112" s="217" t="s">
        <v>1123</v>
      </c>
      <c r="F112" s="217" t="str">
        <f ca="1">IF(ISERROR($V112),"",OFFSET('Smelter Look-up'!$E$4,$V112-4,0))</f>
        <v>CID001056</v>
      </c>
      <c r="G112" s="217" t="str">
        <f ca="1">IF(C112=$X$4,"Enter smelter details",IF(ISERROR($V112),"",OFFSET('Smelter Look-up'!$F$4,$V112-4,0)))</f>
        <v>RMI</v>
      </c>
      <c r="H112" s="218" t="s">
        <v>15778</v>
      </c>
      <c r="I112" s="219" t="s">
        <v>1642</v>
      </c>
      <c r="J112" s="219" t="s">
        <v>13968</v>
      </c>
      <c r="K112" s="273"/>
      <c r="L112" s="273"/>
      <c r="M112" s="273"/>
      <c r="N112" s="273"/>
      <c r="O112" s="273" t="s">
        <v>15780</v>
      </c>
      <c r="P112" s="220"/>
      <c r="Q112" s="274"/>
      <c r="R112" s="217" t="str">
        <f ca="1">IF(ISERROR($V112),"",OFFSET('Smelter Look-up'!$C$4,$V112-4,0)&amp;"")</f>
        <v>Lingbao Gold Co., Ltd.</v>
      </c>
      <c r="S112" s="225" t="str">
        <f t="shared" ca="1" si="15"/>
        <v>CN</v>
      </c>
      <c r="T112" s="225" t="str">
        <f ca="1">IF(B112="","",IF(ISERROR(MATCH($J112,SorP!$B$1:$B$6230,0)),"",INDIRECT("'SorP'!$A$"&amp;MATCH($J112,SorP!$B$1:$B$6230,0))))</f>
        <v>CN-HA</v>
      </c>
      <c r="U112" s="241"/>
      <c r="V112" s="275">
        <f>IF(C112="",NA(),MATCH($B112&amp;$C112,'Smelter Look-up'!$J:$J,0))</f>
        <v>140</v>
      </c>
      <c r="W112" s="276"/>
      <c r="X112" s="276">
        <f t="shared" si="16"/>
        <v>0</v>
      </c>
      <c r="Y112" s="276"/>
      <c r="Z112" s="276"/>
      <c r="AB112" s="278" t="str">
        <f t="shared" si="17"/>
        <v>GoldLingbao Gold Co., Ltd.</v>
      </c>
    </row>
    <row r="113" spans="1:28" s="277" customFormat="1" ht="63">
      <c r="A113" s="216" t="s">
        <v>714</v>
      </c>
      <c r="B113" s="217" t="s">
        <v>1153</v>
      </c>
      <c r="C113" s="221" t="s">
        <v>2429</v>
      </c>
      <c r="D113" s="283" t="s">
        <v>2429</v>
      </c>
      <c r="E113" s="217" t="s">
        <v>907</v>
      </c>
      <c r="F113" s="217" t="str">
        <f ca="1">IF(ISERROR($V113),"",OFFSET('Smelter Look-up'!$E$4,$V113-4,0))</f>
        <v>CID001032</v>
      </c>
      <c r="G113" s="217" t="str">
        <f ca="1">IF(C113=$X$4,"Enter smelter details",IF(ISERROR($V113),"",OFFSET('Smelter Look-up'!$F$4,$V113-4,0)))</f>
        <v>RMI</v>
      </c>
      <c r="H113" s="218" t="s">
        <v>15781</v>
      </c>
      <c r="I113" s="219" t="s">
        <v>1641</v>
      </c>
      <c r="J113" s="219" t="s">
        <v>10412</v>
      </c>
      <c r="K113" s="273"/>
      <c r="L113" s="273"/>
      <c r="M113" s="273"/>
      <c r="N113" s="273"/>
      <c r="O113" s="273" t="s">
        <v>15782</v>
      </c>
      <c r="P113" s="220"/>
      <c r="Q113" s="274"/>
      <c r="R113" s="217" t="str">
        <f ca="1">IF(ISERROR($V113),"",OFFSET('Smelter Look-up'!$C$4,$V113-4,0)&amp;"")</f>
        <v>L'azurde Company For Jewelry</v>
      </c>
      <c r="S113" s="225" t="str">
        <f t="shared" ca="1" si="15"/>
        <v>SA</v>
      </c>
      <c r="T113" s="225" t="str">
        <f ca="1">IF(B113="","",IF(ISERROR(MATCH($J113,SorP!$B$1:$B$6230,0)),"",INDIRECT("'SorP'!$A$"&amp;MATCH($J113,SorP!$B$1:$B$6230,0))))</f>
        <v>SA-01</v>
      </c>
      <c r="U113" s="241"/>
      <c r="V113" s="275">
        <f>IF(C113="",NA(),MATCH($B113&amp;$C113,'Smelter Look-up'!$J:$J,0))</f>
        <v>138</v>
      </c>
      <c r="W113" s="276"/>
      <c r="X113" s="276">
        <f t="shared" si="16"/>
        <v>0</v>
      </c>
      <c r="Y113" s="276"/>
      <c r="Z113" s="276"/>
      <c r="AB113" s="278" t="str">
        <f t="shared" si="17"/>
        <v>GoldL'azurde Company For Jewelry</v>
      </c>
    </row>
    <row r="114" spans="1:28" s="277" customFormat="1" ht="176.4">
      <c r="A114" s="216" t="s">
        <v>713</v>
      </c>
      <c r="B114" s="217" t="s">
        <v>1153</v>
      </c>
      <c r="C114" s="221" t="s">
        <v>869</v>
      </c>
      <c r="D114" s="283" t="s">
        <v>869</v>
      </c>
      <c r="E114" s="217" t="s">
        <v>1133</v>
      </c>
      <c r="F114" s="217" t="str">
        <f ca="1">IF(ISERROR($V114),"",OFFSET('Smelter Look-up'!$E$4,$V114-4,0))</f>
        <v>CID001029</v>
      </c>
      <c r="G114" s="217" t="str">
        <f ca="1">IF(C114=$X$4,"Enter smelter details",IF(ISERROR($V114),"",OFFSET('Smelter Look-up'!$F$4,$V114-4,0)))</f>
        <v>RMI</v>
      </c>
      <c r="H114" s="218" t="s">
        <v>15783</v>
      </c>
      <c r="I114" s="219" t="s">
        <v>1640</v>
      </c>
      <c r="J114" s="219" t="s">
        <v>13191</v>
      </c>
      <c r="K114" s="273"/>
      <c r="L114" s="273"/>
      <c r="M114" s="273"/>
      <c r="N114" s="273" t="s">
        <v>15784</v>
      </c>
      <c r="O114" s="273" t="s">
        <v>15785</v>
      </c>
      <c r="P114" s="220"/>
      <c r="Q114" s="274" t="s">
        <v>15513</v>
      </c>
      <c r="R114" s="217" t="str">
        <f ca="1">IF(ISERROR($V114),"",OFFSET('Smelter Look-up'!$C$4,$V114-4,0)&amp;"")</f>
        <v>Kyrgyzaltyn JSC</v>
      </c>
      <c r="S114" s="225" t="str">
        <f t="shared" ca="1" si="15"/>
        <v>KG</v>
      </c>
      <c r="T114" s="225" t="str">
        <f ca="1">IF(B114="","",IF(ISERROR(MATCH($J114,SorP!$B$1:$B$6230,0)),"",INDIRECT("'SorP'!$A$"&amp;MATCH($J114,SorP!$B$1:$B$6230,0))))</f>
        <v>KG-C</v>
      </c>
      <c r="U114" s="241"/>
      <c r="V114" s="275">
        <f>IF(C114="",NA(),MATCH($B114&amp;$C114,'Smelter Look-up'!$J:$J,0))</f>
        <v>134</v>
      </c>
      <c r="W114" s="276"/>
      <c r="X114" s="276">
        <f t="shared" si="16"/>
        <v>0</v>
      </c>
      <c r="Y114" s="276"/>
      <c r="Z114" s="276"/>
      <c r="AB114" s="278" t="str">
        <f t="shared" si="17"/>
        <v>GoldKyrgyzaltyn JSC</v>
      </c>
    </row>
    <row r="115" spans="1:28" s="277" customFormat="1" ht="289.8">
      <c r="A115" s="216" t="s">
        <v>712</v>
      </c>
      <c r="B115" s="217" t="s">
        <v>1153</v>
      </c>
      <c r="C115" s="221" t="s">
        <v>2252</v>
      </c>
      <c r="D115" s="283" t="s">
        <v>2252</v>
      </c>
      <c r="E115" s="217" t="s">
        <v>1131</v>
      </c>
      <c r="F115" s="217" t="str">
        <f ca="1">IF(ISERROR($V115),"",OFFSET('Smelter Look-up'!$E$4,$V115-4,0))</f>
        <v>CID000981</v>
      </c>
      <c r="G115" s="217" t="str">
        <f ca="1">IF(C115=$X$4,"Enter smelter details",IF(ISERROR($V115),"",OFFSET('Smelter Look-up'!$F$4,$V115-4,0)))</f>
        <v>RMI</v>
      </c>
      <c r="H115" s="218" t="s">
        <v>15786</v>
      </c>
      <c r="I115" s="219" t="s">
        <v>1638</v>
      </c>
      <c r="J115" s="219" t="s">
        <v>1610</v>
      </c>
      <c r="K115" s="273"/>
      <c r="L115" s="273"/>
      <c r="M115" s="273"/>
      <c r="N115" s="273" t="s">
        <v>15787</v>
      </c>
      <c r="O115" s="273" t="s">
        <v>15788</v>
      </c>
      <c r="P115" s="220"/>
      <c r="Q115" s="274" t="s">
        <v>15513</v>
      </c>
      <c r="R115" s="217" t="str">
        <f ca="1">IF(ISERROR($V115),"",OFFSET('Smelter Look-up'!$C$4,$V115-4,0)&amp;"")</f>
        <v>Kojima Chemicals Co., Ltd.</v>
      </c>
      <c r="S115" s="225" t="str">
        <f t="shared" ca="1" si="15"/>
        <v>JP</v>
      </c>
      <c r="T115" s="225" t="str">
        <f ca="1">IF(B115="","",IF(ISERROR(MATCH($J115,SorP!$B$1:$B$6230,0)),"",INDIRECT("'SorP'!$A$"&amp;MATCH($J115,SorP!$B$1:$B$6230,0))))</f>
        <v>JP-11</v>
      </c>
      <c r="U115" s="241"/>
      <c r="V115" s="275">
        <f>IF(C115="",NA(),MATCH($B115&amp;$C115,'Smelter Look-up'!$J:$J,0))</f>
        <v>128</v>
      </c>
      <c r="W115" s="276"/>
      <c r="X115" s="276">
        <f t="shared" si="16"/>
        <v>0</v>
      </c>
      <c r="Y115" s="276"/>
      <c r="Z115" s="276"/>
      <c r="AB115" s="278" t="str">
        <f t="shared" si="17"/>
        <v>GoldKojima Chemicals Co., Ltd.</v>
      </c>
    </row>
    <row r="116" spans="1:28" s="277" customFormat="1" ht="252">
      <c r="A116" s="216" t="s">
        <v>711</v>
      </c>
      <c r="B116" s="217" t="s">
        <v>1153</v>
      </c>
      <c r="C116" s="221" t="s">
        <v>710</v>
      </c>
      <c r="D116" s="283" t="s">
        <v>710</v>
      </c>
      <c r="E116" s="217" t="s">
        <v>2576</v>
      </c>
      <c r="F116" s="217" t="str">
        <f ca="1">IF(ISERROR($V116),"",OFFSET('Smelter Look-up'!$E$4,$V116-4,0))</f>
        <v>CID000969</v>
      </c>
      <c r="G116" s="217" t="str">
        <f ca="1">IF(C116=$X$4,"Enter smelter details",IF(ISERROR($V116),"",OFFSET('Smelter Look-up'!$F$4,$V116-4,0)))</f>
        <v>RMI</v>
      </c>
      <c r="H116" s="218" t="s">
        <v>15789</v>
      </c>
      <c r="I116" s="219" t="s">
        <v>1637</v>
      </c>
      <c r="J116" s="219" t="s">
        <v>1630</v>
      </c>
      <c r="K116" s="273"/>
      <c r="L116" s="273"/>
      <c r="M116" s="273"/>
      <c r="N116" s="273" t="s">
        <v>15688</v>
      </c>
      <c r="O116" s="273" t="s">
        <v>15790</v>
      </c>
      <c r="P116" s="220"/>
      <c r="Q116" s="274" t="s">
        <v>15513</v>
      </c>
      <c r="R116" s="217" t="str">
        <f ca="1">IF(ISERROR($V116),"",OFFSET('Smelter Look-up'!$C$4,$V116-4,0)&amp;"")</f>
        <v>Kennecott Utah Copper LLC</v>
      </c>
      <c r="S116" s="225" t="str">
        <f t="shared" ca="1" si="15"/>
        <v>US</v>
      </c>
      <c r="T116" s="225" t="str">
        <f ca="1">IF(B116="","",IF(ISERROR(MATCH($J116,SorP!$B$1:$B$6230,0)),"",INDIRECT("'SorP'!$A$"&amp;MATCH($J116,SorP!$B$1:$B$6230,0))))</f>
        <v>US-UT</v>
      </c>
      <c r="U116" s="241"/>
      <c r="V116" s="275">
        <f>IF(C116="",NA(),MATCH($B116&amp;$C116,'Smelter Look-up'!$J:$J,0))</f>
        <v>124</v>
      </c>
      <c r="W116" s="276"/>
      <c r="X116" s="276">
        <f t="shared" si="16"/>
        <v>0</v>
      </c>
      <c r="Y116" s="276"/>
      <c r="Z116" s="276"/>
      <c r="AB116" s="278" t="str">
        <f t="shared" si="17"/>
        <v>GoldKennecott Utah Copper LLC</v>
      </c>
    </row>
    <row r="117" spans="1:28" s="277" customFormat="1" ht="201.6">
      <c r="A117" s="216" t="s">
        <v>709</v>
      </c>
      <c r="B117" s="217" t="s">
        <v>1153</v>
      </c>
      <c r="C117" s="221" t="s">
        <v>1635</v>
      </c>
      <c r="D117" s="283" t="s">
        <v>1635</v>
      </c>
      <c r="E117" s="217" t="s">
        <v>1132</v>
      </c>
      <c r="F117" s="217" t="str">
        <f ca="1">IF(ISERROR($V117),"",OFFSET('Smelter Look-up'!$E$4,$V117-4,0))</f>
        <v>CID000957</v>
      </c>
      <c r="G117" s="217" t="str">
        <f ca="1">IF(C117=$X$4,"Enter smelter details",IF(ISERROR($V117),"",OFFSET('Smelter Look-up'!$F$4,$V117-4,0)))</f>
        <v>RMI</v>
      </c>
      <c r="H117" s="218" t="s">
        <v>15791</v>
      </c>
      <c r="I117" s="219" t="s">
        <v>1636</v>
      </c>
      <c r="J117" s="219" t="s">
        <v>7279</v>
      </c>
      <c r="K117" s="273"/>
      <c r="L117" s="273"/>
      <c r="M117" s="273"/>
      <c r="N117" s="273" t="s">
        <v>15688</v>
      </c>
      <c r="O117" s="273" t="s">
        <v>15792</v>
      </c>
      <c r="P117" s="220"/>
      <c r="Q117" s="274" t="s">
        <v>15513</v>
      </c>
      <c r="R117" s="217" t="str">
        <f ca="1">IF(ISERROR($V117),"",OFFSET('Smelter Look-up'!$C$4,$V117-4,0)&amp;"")</f>
        <v>Kazzinc</v>
      </c>
      <c r="S117" s="225" t="str">
        <f t="shared" ca="1" si="15"/>
        <v>KZ</v>
      </c>
      <c r="T117" s="225" t="str">
        <f ca="1">IF(B117="","",IF(ISERROR(MATCH($J117,SorP!$B$1:$B$6230,0)),"",INDIRECT("'SorP'!$A$"&amp;MATCH($J117,SorP!$B$1:$B$6230,0))))</f>
        <v>KZ-KAR</v>
      </c>
      <c r="U117" s="241"/>
      <c r="V117" s="275">
        <f>IF(C117="",NA(),MATCH($B117&amp;$C117,'Smelter Look-up'!$J:$J,0))</f>
        <v>123</v>
      </c>
      <c r="W117" s="276"/>
      <c r="X117" s="276">
        <f t="shared" si="16"/>
        <v>0</v>
      </c>
      <c r="Y117" s="276"/>
      <c r="Z117" s="276"/>
      <c r="AB117" s="278" t="str">
        <f t="shared" si="17"/>
        <v>GoldKazzinc</v>
      </c>
    </row>
    <row r="118" spans="1:28" s="277" customFormat="1" ht="50.4">
      <c r="A118" s="216" t="s">
        <v>2304</v>
      </c>
      <c r="B118" s="217" t="s">
        <v>1153</v>
      </c>
      <c r="C118" s="221" t="s">
        <v>2303</v>
      </c>
      <c r="D118" s="283" t="s">
        <v>2303</v>
      </c>
      <c r="E118" s="217" t="s">
        <v>1132</v>
      </c>
      <c r="F118" s="217" t="str">
        <f ca="1">IF(ISERROR($V118),"",OFFSET('Smelter Look-up'!$E$4,$V118-4,0))</f>
        <v>CID000956</v>
      </c>
      <c r="G118" s="217" t="str">
        <f ca="1">IF(C118=$X$4,"Enter smelter details",IF(ISERROR($V118),"",OFFSET('Smelter Look-up'!$F$4,$V118-4,0)))</f>
        <v>RMI</v>
      </c>
      <c r="H118" s="218" t="s">
        <v>15793</v>
      </c>
      <c r="I118" s="219" t="s">
        <v>2305</v>
      </c>
      <c r="J118" s="219" t="s">
        <v>7279</v>
      </c>
      <c r="K118" s="273"/>
      <c r="L118" s="273"/>
      <c r="M118" s="273"/>
      <c r="N118" s="273"/>
      <c r="O118" s="273" t="s">
        <v>15794</v>
      </c>
      <c r="P118" s="220"/>
      <c r="Q118" s="274"/>
      <c r="R118" s="217" t="str">
        <f ca="1">IF(ISERROR($V118),"",OFFSET('Smelter Look-up'!$C$4,$V118-4,0)&amp;"")</f>
        <v>Kazakhmys Smelting LLC</v>
      </c>
      <c r="S118" s="225" t="str">
        <f t="shared" ca="1" si="15"/>
        <v>KZ</v>
      </c>
      <c r="T118" s="225" t="str">
        <f ca="1">IF(B118="","",IF(ISERROR(MATCH($J118,SorP!$B$1:$B$6230,0)),"",INDIRECT("'SorP'!$A$"&amp;MATCH($J118,SorP!$B$1:$B$6230,0))))</f>
        <v>KZ-KAR</v>
      </c>
      <c r="U118" s="241"/>
      <c r="V118" s="275">
        <f>IF(C118="",NA(),MATCH($B118&amp;$C118,'Smelter Look-up'!$J:$J,0))</f>
        <v>122</v>
      </c>
      <c r="W118" s="276"/>
      <c r="X118" s="276">
        <f t="shared" si="16"/>
        <v>0</v>
      </c>
      <c r="Y118" s="276"/>
      <c r="Z118" s="276"/>
      <c r="AB118" s="278" t="str">
        <f t="shared" si="17"/>
        <v>GoldKazakhmys Smelting LLC</v>
      </c>
    </row>
    <row r="119" spans="1:28" s="277" customFormat="1" ht="214.2">
      <c r="A119" s="216" t="s">
        <v>708</v>
      </c>
      <c r="B119" s="217" t="s">
        <v>1153</v>
      </c>
      <c r="C119" s="221" t="s">
        <v>57</v>
      </c>
      <c r="D119" s="283" t="s">
        <v>57</v>
      </c>
      <c r="E119" s="217" t="s">
        <v>1131</v>
      </c>
      <c r="F119" s="217" t="str">
        <f ca="1">IF(ISERROR($V119),"",OFFSET('Smelter Look-up'!$E$4,$V119-4,0))</f>
        <v>CID000937</v>
      </c>
      <c r="G119" s="217" t="str">
        <f ca="1">IF(C119=$X$4,"Enter smelter details",IF(ISERROR($V119),"",OFFSET('Smelter Look-up'!$F$4,$V119-4,0)))</f>
        <v>RMI</v>
      </c>
      <c r="H119" s="218" t="s">
        <v>15795</v>
      </c>
      <c r="I119" s="219" t="s">
        <v>15796</v>
      </c>
      <c r="J119" s="219" t="s">
        <v>6885</v>
      </c>
      <c r="K119" s="273"/>
      <c r="L119" s="273"/>
      <c r="M119" s="273"/>
      <c r="N119" s="273" t="s">
        <v>15797</v>
      </c>
      <c r="O119" s="273" t="s">
        <v>15798</v>
      </c>
      <c r="P119" s="220"/>
      <c r="Q119" s="274" t="s">
        <v>15513</v>
      </c>
      <c r="R119" s="217" t="str">
        <f ca="1">IF(ISERROR($V119),"",OFFSET('Smelter Look-up'!$C$4,$V119-4,0)&amp;"")</f>
        <v>JX Nippon Mining &amp; Metals Co., Ltd.</v>
      </c>
      <c r="S119" s="225" t="str">
        <f t="shared" ca="1" si="15"/>
        <v>JP</v>
      </c>
      <c r="T119" s="225" t="str">
        <f ca="1">IF(B119="","",IF(ISERROR(MATCH($J119,SorP!$B$1:$B$6230,0)),"",INDIRECT("'SorP'!$A$"&amp;MATCH($J119,SorP!$B$1:$B$6230,0))))</f>
        <v>JP-44</v>
      </c>
      <c r="U119" s="241"/>
      <c r="V119" s="275">
        <f>IF(C119="",NA(),MATCH($B119&amp;$C119,'Smelter Look-up'!$J:$J,0))</f>
        <v>120</v>
      </c>
      <c r="W119" s="276"/>
      <c r="X119" s="276">
        <f t="shared" si="16"/>
        <v>0</v>
      </c>
      <c r="Y119" s="276"/>
      <c r="Z119" s="276"/>
      <c r="AB119" s="278" t="str">
        <f t="shared" si="17"/>
        <v>GoldJX Nippon Mining &amp; Metals Co., Ltd.</v>
      </c>
    </row>
    <row r="120" spans="1:28" s="277" customFormat="1" ht="163.80000000000001">
      <c r="A120" s="216" t="s">
        <v>707</v>
      </c>
      <c r="B120" s="217" t="s">
        <v>1153</v>
      </c>
      <c r="C120" s="221" t="s">
        <v>1430</v>
      </c>
      <c r="D120" s="283" t="s">
        <v>1430</v>
      </c>
      <c r="E120" s="217" t="s">
        <v>906</v>
      </c>
      <c r="F120" s="217" t="str">
        <f ca="1">IF(ISERROR($V120),"",OFFSET('Smelter Look-up'!$E$4,$V120-4,0))</f>
        <v>CID000929</v>
      </c>
      <c r="G120" s="217" t="str">
        <f ca="1">IF(C120=$X$4,"Enter smelter details",IF(ISERROR($V120),"",OFFSET('Smelter Look-up'!$F$4,$V120-4,0)))</f>
        <v>RMI</v>
      </c>
      <c r="H120" s="218" t="s">
        <v>15799</v>
      </c>
      <c r="I120" s="219" t="s">
        <v>1634</v>
      </c>
      <c r="J120" s="219" t="s">
        <v>10268</v>
      </c>
      <c r="K120" s="273"/>
      <c r="L120" s="273"/>
      <c r="M120" s="273"/>
      <c r="N120" s="273" t="s">
        <v>15800</v>
      </c>
      <c r="O120" s="273" t="s">
        <v>15801</v>
      </c>
      <c r="P120" s="220"/>
      <c r="Q120" s="274" t="s">
        <v>15513</v>
      </c>
      <c r="R120" s="217" t="str">
        <f ca="1">IF(ISERROR($V120),"",OFFSET('Smelter Look-up'!$C$4,$V120-4,0)&amp;"")</f>
        <v>JSC Uralelectromed</v>
      </c>
      <c r="S120" s="225" t="str">
        <f t="shared" ca="1" si="15"/>
        <v>RU</v>
      </c>
      <c r="T120" s="225" t="str">
        <f ca="1">IF(B120="","",IF(ISERROR(MATCH($J120,SorP!$B$1:$B$6230,0)),"",INDIRECT("'SorP'!$A$"&amp;MATCH($J120,SorP!$B$1:$B$6230,0))))</f>
        <v>RU-SVE</v>
      </c>
      <c r="U120" s="241"/>
      <c r="V120" s="275">
        <f>IF(C120="",NA(),MATCH($B120&amp;$C120,'Smelter Look-up'!$J:$J,0))</f>
        <v>119</v>
      </c>
      <c r="W120" s="276"/>
      <c r="X120" s="276">
        <f t="shared" si="16"/>
        <v>0</v>
      </c>
      <c r="Y120" s="276"/>
      <c r="Z120" s="276"/>
      <c r="AB120" s="278" t="str">
        <f t="shared" si="17"/>
        <v>GoldJSC Uralelectromed</v>
      </c>
    </row>
    <row r="121" spans="1:28" s="277" customFormat="1" ht="100.8">
      <c r="A121" s="216" t="s">
        <v>706</v>
      </c>
      <c r="B121" s="217" t="s">
        <v>1153</v>
      </c>
      <c r="C121" s="221" t="s">
        <v>932</v>
      </c>
      <c r="D121" s="283" t="s">
        <v>932</v>
      </c>
      <c r="E121" s="217" t="s">
        <v>906</v>
      </c>
      <c r="F121" s="217" t="str">
        <f ca="1">IF(ISERROR($V121),"",OFFSET('Smelter Look-up'!$E$4,$V121-4,0))</f>
        <v>CID000927</v>
      </c>
      <c r="G121" s="217" t="str">
        <f ca="1">IF(C121=$X$4,"Enter smelter details",IF(ISERROR($V121),"",OFFSET('Smelter Look-up'!$F$4,$V121-4,0)))</f>
        <v>RMI</v>
      </c>
      <c r="H121" s="218" t="s">
        <v>15802</v>
      </c>
      <c r="I121" s="219" t="s">
        <v>1634</v>
      </c>
      <c r="J121" s="219" t="s">
        <v>10268</v>
      </c>
      <c r="K121" s="273"/>
      <c r="L121" s="273"/>
      <c r="M121" s="273"/>
      <c r="N121" s="273"/>
      <c r="O121" s="273" t="s">
        <v>15803</v>
      </c>
      <c r="P121" s="220"/>
      <c r="Q121" s="274"/>
      <c r="R121" s="217" t="str">
        <f ca="1">IF(ISERROR($V121),"",OFFSET('Smelter Look-up'!$C$4,$V121-4,0)&amp;"")</f>
        <v>JSC Ekaterinburg Non-Ferrous Metal Processing Plant</v>
      </c>
      <c r="S121" s="225" t="str">
        <f t="shared" ca="1" si="15"/>
        <v>RU</v>
      </c>
      <c r="T121" s="225" t="str">
        <f ca="1">IF(B121="","",IF(ISERROR(MATCH($J121,SorP!$B$1:$B$6230,0)),"",INDIRECT("'SorP'!$A$"&amp;MATCH($J121,SorP!$B$1:$B$6230,0))))</f>
        <v>RU-SVE</v>
      </c>
      <c r="U121" s="241"/>
      <c r="V121" s="275">
        <f>IF(C121="",NA(),MATCH($B121&amp;$C121,'Smelter Look-up'!$J:$J,0))</f>
        <v>118</v>
      </c>
      <c r="W121" s="276"/>
      <c r="X121" s="276">
        <f t="shared" si="16"/>
        <v>0</v>
      </c>
      <c r="Y121" s="276"/>
      <c r="Z121" s="276"/>
      <c r="AB121" s="278" t="str">
        <f t="shared" si="17"/>
        <v>GoldJSC Ekaterinburg Non-Ferrous Metal Processing Plant</v>
      </c>
    </row>
    <row r="122" spans="1:28" s="277" customFormat="1" ht="189">
      <c r="A122" s="216" t="s">
        <v>705</v>
      </c>
      <c r="B122" s="217" t="s">
        <v>1153</v>
      </c>
      <c r="C122" s="221" t="s">
        <v>2411</v>
      </c>
      <c r="D122" s="283" t="s">
        <v>2411</v>
      </c>
      <c r="E122" s="217" t="s">
        <v>1120</v>
      </c>
      <c r="F122" s="217" t="str">
        <f ca="1">IF(ISERROR($V122),"",OFFSET('Smelter Look-up'!$E$4,$V122-4,0))</f>
        <v>CID000924</v>
      </c>
      <c r="G122" s="217" t="str">
        <f ca="1">IF(C122=$X$4,"Enter smelter details",IF(ISERROR($V122),"",OFFSET('Smelter Look-up'!$F$4,$V122-4,0)))</f>
        <v>RMI</v>
      </c>
      <c r="H122" s="218" t="s">
        <v>15804</v>
      </c>
      <c r="I122" s="219" t="s">
        <v>1632</v>
      </c>
      <c r="J122" s="219" t="s">
        <v>1633</v>
      </c>
      <c r="K122" s="273"/>
      <c r="L122" s="273"/>
      <c r="M122" s="273"/>
      <c r="N122" s="273" t="s">
        <v>15805</v>
      </c>
      <c r="O122" s="273" t="s">
        <v>15806</v>
      </c>
      <c r="P122" s="220"/>
      <c r="Q122" s="274" t="s">
        <v>15513</v>
      </c>
      <c r="R122" s="217" t="str">
        <f ca="1">IF(ISERROR($V122),"",OFFSET('Smelter Look-up'!$C$4,$V122-4,0)&amp;"")</f>
        <v>Asahi Refining Canada Ltd.</v>
      </c>
      <c r="S122" s="225" t="str">
        <f t="shared" ca="1" si="15"/>
        <v>CA</v>
      </c>
      <c r="T122" s="225" t="str">
        <f ca="1">IF(B122="","",IF(ISERROR(MATCH($J122,SorP!$B$1:$B$6230,0)),"",INDIRECT("'SorP'!$A$"&amp;MATCH($J122,SorP!$B$1:$B$6230,0))))</f>
        <v>CA-ON</v>
      </c>
      <c r="U122" s="241"/>
      <c r="V122" s="275">
        <f>IF(C122="",NA(),MATCH($B122&amp;$C122,'Smelter Look-up'!$J:$J,0))</f>
        <v>25</v>
      </c>
      <c r="W122" s="276"/>
      <c r="X122" s="276">
        <f t="shared" si="16"/>
        <v>0</v>
      </c>
      <c r="Y122" s="276"/>
      <c r="Z122" s="276"/>
      <c r="AB122" s="278" t="str">
        <f t="shared" si="17"/>
        <v>GoldAsahi Refining Canada Ltd.</v>
      </c>
    </row>
    <row r="123" spans="1:28" s="277" customFormat="1" ht="176.4">
      <c r="A123" s="216" t="s">
        <v>704</v>
      </c>
      <c r="B123" s="217" t="s">
        <v>1153</v>
      </c>
      <c r="C123" s="221" t="s">
        <v>2309</v>
      </c>
      <c r="D123" s="283" t="s">
        <v>2309</v>
      </c>
      <c r="E123" s="217" t="s">
        <v>2576</v>
      </c>
      <c r="F123" s="217" t="str">
        <f ca="1">IF(ISERROR($V123),"",OFFSET('Smelter Look-up'!$E$4,$V123-4,0))</f>
        <v>CID000920</v>
      </c>
      <c r="G123" s="217" t="str">
        <f ca="1">IF(C123=$X$4,"Enter smelter details",IF(ISERROR($V123),"",OFFSET('Smelter Look-up'!$F$4,$V123-4,0)))</f>
        <v>RMI</v>
      </c>
      <c r="H123" s="218" t="s">
        <v>15807</v>
      </c>
      <c r="I123" s="219" t="s">
        <v>1629</v>
      </c>
      <c r="J123" s="219" t="s">
        <v>1630</v>
      </c>
      <c r="K123" s="273"/>
      <c r="L123" s="273"/>
      <c r="M123" s="273"/>
      <c r="N123" s="273" t="s">
        <v>15808</v>
      </c>
      <c r="O123" s="273" t="s">
        <v>15809</v>
      </c>
      <c r="P123" s="220"/>
      <c r="Q123" s="274" t="s">
        <v>15513</v>
      </c>
      <c r="R123" s="217" t="str">
        <f ca="1">IF(ISERROR($V123),"",OFFSET('Smelter Look-up'!$C$4,$V123-4,0)&amp;"")</f>
        <v>Asahi Refining USA Inc.</v>
      </c>
      <c r="S123" s="225" t="str">
        <f t="shared" ca="1" si="15"/>
        <v>US</v>
      </c>
      <c r="T123" s="225" t="str">
        <f ca="1">IF(B123="","",IF(ISERROR(MATCH($J123,SorP!$B$1:$B$6230,0)),"",INDIRECT("'SorP'!$A$"&amp;MATCH($J123,SorP!$B$1:$B$6230,0))))</f>
        <v>US-UT</v>
      </c>
      <c r="U123" s="241"/>
      <c r="V123" s="275">
        <f>IF(C123="",NA(),MATCH($B123&amp;$C123,'Smelter Look-up'!$J:$J,0))</f>
        <v>26</v>
      </c>
      <c r="W123" s="276"/>
      <c r="X123" s="276">
        <f t="shared" si="16"/>
        <v>0</v>
      </c>
      <c r="Y123" s="276"/>
      <c r="Z123" s="276"/>
      <c r="AB123" s="278" t="str">
        <f t="shared" si="17"/>
        <v>GoldAsahi Refining USA Inc.</v>
      </c>
    </row>
    <row r="124" spans="1:28" s="277" customFormat="1" ht="176.4">
      <c r="A124" s="216" t="s">
        <v>703</v>
      </c>
      <c r="B124" s="217" t="s">
        <v>1153</v>
      </c>
      <c r="C124" s="221" t="s">
        <v>2425</v>
      </c>
      <c r="D124" s="283" t="s">
        <v>2425</v>
      </c>
      <c r="E124" s="217" t="s">
        <v>1123</v>
      </c>
      <c r="F124" s="217" t="str">
        <f ca="1">IF(ISERROR($V124),"",OFFSET('Smelter Look-up'!$E$4,$V124-4,0))</f>
        <v>CID000855</v>
      </c>
      <c r="G124" s="217" t="str">
        <f ca="1">IF(C124=$X$4,"Enter smelter details",IF(ISERROR($V124),"",OFFSET('Smelter Look-up'!$F$4,$V124-4,0)))</f>
        <v>RMI</v>
      </c>
      <c r="H124" s="218" t="s">
        <v>15810</v>
      </c>
      <c r="I124" s="219" t="s">
        <v>1627</v>
      </c>
      <c r="J124" s="219" t="s">
        <v>13966</v>
      </c>
      <c r="K124" s="273"/>
      <c r="L124" s="273"/>
      <c r="M124" s="273"/>
      <c r="N124" s="273" t="s">
        <v>15811</v>
      </c>
      <c r="O124" s="273" t="s">
        <v>15812</v>
      </c>
      <c r="P124" s="220"/>
      <c r="Q124" s="274" t="s">
        <v>15513</v>
      </c>
      <c r="R124" s="217" t="str">
        <f ca="1">IF(ISERROR($V124),"",OFFSET('Smelter Look-up'!$C$4,$V124-4,0)&amp;"")</f>
        <v>Jiangxi Copper Co., Ltd.</v>
      </c>
      <c r="S124" s="225" t="str">
        <f t="shared" ca="1" si="15"/>
        <v>CN</v>
      </c>
      <c r="T124" s="225" t="str">
        <f ca="1">IF(B124="","",IF(ISERROR(MATCH($J124,SorP!$B$1:$B$6230,0)),"",INDIRECT("'SorP'!$A$"&amp;MATCH($J124,SorP!$B$1:$B$6230,0))))</f>
        <v>CN-JX</v>
      </c>
      <c r="U124" s="241"/>
      <c r="V124" s="275">
        <f>IF(C124="",NA(),MATCH($B124&amp;$C124,'Smelter Look-up'!$J:$J,0))</f>
        <v>113</v>
      </c>
      <c r="W124" s="276"/>
      <c r="X124" s="276">
        <f t="shared" si="16"/>
        <v>0</v>
      </c>
      <c r="Y124" s="276"/>
      <c r="Z124" s="276"/>
      <c r="AB124" s="278" t="str">
        <f t="shared" si="17"/>
        <v>GoldJiangxi Copper Co., Ltd.</v>
      </c>
    </row>
    <row r="125" spans="1:28" s="277" customFormat="1" ht="163.80000000000001">
      <c r="A125" s="216" t="s">
        <v>702</v>
      </c>
      <c r="B125" s="217" t="s">
        <v>1153</v>
      </c>
      <c r="C125" s="221" t="s">
        <v>931</v>
      </c>
      <c r="D125" s="283" t="s">
        <v>931</v>
      </c>
      <c r="E125" s="217" t="s">
        <v>1131</v>
      </c>
      <c r="F125" s="217" t="str">
        <f ca="1">IF(ISERROR($V125),"",OFFSET('Smelter Look-up'!$E$4,$V125-4,0))</f>
        <v>CID000823</v>
      </c>
      <c r="G125" s="217" t="str">
        <f ca="1">IF(C125=$X$4,"Enter smelter details",IF(ISERROR($V125),"",OFFSET('Smelter Look-up'!$F$4,$V125-4,0)))</f>
        <v>RMI</v>
      </c>
      <c r="H125" s="218" t="s">
        <v>15813</v>
      </c>
      <c r="I125" s="219" t="s">
        <v>1626</v>
      </c>
      <c r="J125" s="219" t="s">
        <v>1626</v>
      </c>
      <c r="K125" s="273"/>
      <c r="L125" s="273"/>
      <c r="M125" s="273"/>
      <c r="N125" s="273" t="s">
        <v>15814</v>
      </c>
      <c r="O125" s="273" t="s">
        <v>15815</v>
      </c>
      <c r="P125" s="220"/>
      <c r="Q125" s="274" t="s">
        <v>15513</v>
      </c>
      <c r="R125" s="217" t="str">
        <f ca="1">IF(ISERROR($V125),"",OFFSET('Smelter Look-up'!$C$4,$V125-4,0)&amp;"")</f>
        <v>Japan Mint</v>
      </c>
      <c r="S125" s="225" t="str">
        <f t="shared" ca="1" si="15"/>
        <v>JP</v>
      </c>
      <c r="T125" s="225" t="str">
        <f ca="1">IF(B125="","",IF(ISERROR(MATCH($J125,SorP!$B$1:$B$6230,0)),"",INDIRECT("'SorP'!$A$"&amp;MATCH($J125,SorP!$B$1:$B$6230,0))))</f>
        <v>JP-27</v>
      </c>
      <c r="U125" s="241"/>
      <c r="V125" s="275">
        <f>IF(C125="",NA(),MATCH($B125&amp;$C125,'Smelter Look-up'!$J:$J,0))</f>
        <v>111</v>
      </c>
      <c r="W125" s="276"/>
      <c r="X125" s="276">
        <f t="shared" si="16"/>
        <v>0</v>
      </c>
      <c r="Y125" s="276"/>
      <c r="Z125" s="276"/>
      <c r="AB125" s="278" t="str">
        <f t="shared" si="17"/>
        <v>GoldJapan Mint</v>
      </c>
    </row>
    <row r="126" spans="1:28" s="277" customFormat="1" ht="163.80000000000001">
      <c r="A126" s="216" t="s">
        <v>701</v>
      </c>
      <c r="B126" s="217" t="s">
        <v>1153</v>
      </c>
      <c r="C126" s="221" t="s">
        <v>1258</v>
      </c>
      <c r="D126" s="283" t="s">
        <v>1258</v>
      </c>
      <c r="E126" s="217" t="s">
        <v>912</v>
      </c>
      <c r="F126" s="217" t="str">
        <f ca="1">IF(ISERROR($V126),"",OFFSET('Smelter Look-up'!$E$4,$V126-4,0))</f>
        <v>CID000814</v>
      </c>
      <c r="G126" s="217" t="str">
        <f ca="1">IF(C126=$X$4,"Enter smelter details",IF(ISERROR($V126),"",OFFSET('Smelter Look-up'!$F$4,$V126-4,0)))</f>
        <v>RMI</v>
      </c>
      <c r="H126" s="218" t="s">
        <v>15816</v>
      </c>
      <c r="I126" s="219" t="s">
        <v>1625</v>
      </c>
      <c r="J126" s="219" t="s">
        <v>11593</v>
      </c>
      <c r="K126" s="273"/>
      <c r="L126" s="273"/>
      <c r="M126" s="273"/>
      <c r="N126" s="273" t="s">
        <v>15817</v>
      </c>
      <c r="O126" s="273" t="s">
        <v>15818</v>
      </c>
      <c r="P126" s="220"/>
      <c r="Q126" s="274" t="s">
        <v>15513</v>
      </c>
      <c r="R126" s="217" t="str">
        <f ca="1">IF(ISERROR($V126),"",OFFSET('Smelter Look-up'!$C$4,$V126-4,0)&amp;"")</f>
        <v>Istanbul Gold Refinery</v>
      </c>
      <c r="S126" s="225" t="str">
        <f t="shared" ca="1" si="15"/>
        <v>TR</v>
      </c>
      <c r="T126" s="225" t="str">
        <f ca="1">IF(B126="","",IF(ISERROR(MATCH($J126,SorP!$B$1:$B$6230,0)),"",INDIRECT("'SorP'!$A$"&amp;MATCH($J126,SorP!$B$1:$B$6230,0))))</f>
        <v>TR-34</v>
      </c>
      <c r="U126" s="241"/>
      <c r="V126" s="275">
        <f>IF(C126="",NA(),MATCH($B126&amp;$C126,'Smelter Look-up'!$J:$J,0))</f>
        <v>108</v>
      </c>
      <c r="W126" s="276"/>
      <c r="X126" s="276">
        <f t="shared" si="16"/>
        <v>0</v>
      </c>
      <c r="Y126" s="276"/>
      <c r="Z126" s="276"/>
      <c r="AB126" s="278" t="str">
        <f t="shared" si="17"/>
        <v>GoldIstanbul Gold Refinery</v>
      </c>
    </row>
    <row r="127" spans="1:28" s="277" customFormat="1" ht="226.8">
      <c r="A127" s="216" t="s">
        <v>700</v>
      </c>
      <c r="B127" s="217" t="s">
        <v>1153</v>
      </c>
      <c r="C127" s="221" t="s">
        <v>1251</v>
      </c>
      <c r="D127" s="283" t="s">
        <v>1251</v>
      </c>
      <c r="E127" s="217" t="s">
        <v>1131</v>
      </c>
      <c r="F127" s="217" t="str">
        <f ca="1">IF(ISERROR($V127),"",OFFSET('Smelter Look-up'!$E$4,$V127-4,0))</f>
        <v>CID000807</v>
      </c>
      <c r="G127" s="217" t="str">
        <f ca="1">IF(C127=$X$4,"Enter smelter details",IF(ISERROR($V127),"",OFFSET('Smelter Look-up'!$F$4,$V127-4,0)))</f>
        <v>RMI</v>
      </c>
      <c r="H127" s="218" t="s">
        <v>15819</v>
      </c>
      <c r="I127" s="219" t="s">
        <v>1624</v>
      </c>
      <c r="J127" s="219" t="s">
        <v>1610</v>
      </c>
      <c r="K127" s="273"/>
      <c r="L127" s="273"/>
      <c r="M127" s="273"/>
      <c r="N127" s="273" t="s">
        <v>15820</v>
      </c>
      <c r="O127" s="273" t="s">
        <v>15821</v>
      </c>
      <c r="P127" s="220"/>
      <c r="Q127" s="274" t="s">
        <v>15513</v>
      </c>
      <c r="R127" s="217" t="str">
        <f ca="1">IF(ISERROR($V127),"",OFFSET('Smelter Look-up'!$C$4,$V127-4,0)&amp;"")</f>
        <v>Ishifuku Metal Industry Co., Ltd.</v>
      </c>
      <c r="S127" s="225" t="str">
        <f t="shared" ca="1" si="15"/>
        <v>JP</v>
      </c>
      <c r="T127" s="225" t="str">
        <f ca="1">IF(B127="","",IF(ISERROR(MATCH($J127,SorP!$B$1:$B$6230,0)),"",INDIRECT("'SorP'!$A$"&amp;MATCH($J127,SorP!$B$1:$B$6230,0))))</f>
        <v>JP-11</v>
      </c>
      <c r="U127" s="241"/>
      <c r="V127" s="275">
        <f>IF(C127="",NA(),MATCH($B127&amp;$C127,'Smelter Look-up'!$J:$J,0))</f>
        <v>107</v>
      </c>
      <c r="W127" s="276"/>
      <c r="X127" s="276">
        <f t="shared" si="16"/>
        <v>0</v>
      </c>
      <c r="Y127" s="276"/>
      <c r="Z127" s="276"/>
      <c r="AB127" s="278" t="str">
        <f t="shared" si="17"/>
        <v>GoldIshifuku Metal Industry Co., Ltd.</v>
      </c>
    </row>
    <row r="128" spans="1:28" s="277" customFormat="1" ht="163.80000000000001">
      <c r="A128" s="216" t="s">
        <v>699</v>
      </c>
      <c r="B128" s="217" t="s">
        <v>1153</v>
      </c>
      <c r="C128" s="221" t="s">
        <v>2424</v>
      </c>
      <c r="D128" s="283" t="s">
        <v>2424</v>
      </c>
      <c r="E128" s="217" t="s">
        <v>1123</v>
      </c>
      <c r="F128" s="217" t="str">
        <f ca="1">IF(ISERROR($V128),"",OFFSET('Smelter Look-up'!$E$4,$V128-4,0))</f>
        <v>CID000801</v>
      </c>
      <c r="G128" s="217" t="str">
        <f ca="1">IF(C128=$X$4,"Enter smelter details",IF(ISERROR($V128),"",OFFSET('Smelter Look-up'!$F$4,$V128-4,0)))</f>
        <v>RMI</v>
      </c>
      <c r="H128" s="218" t="s">
        <v>15822</v>
      </c>
      <c r="I128" s="219" t="s">
        <v>1623</v>
      </c>
      <c r="J128" s="219" t="s">
        <v>13949</v>
      </c>
      <c r="K128" s="273"/>
      <c r="L128" s="273"/>
      <c r="M128" s="273"/>
      <c r="N128" s="273" t="s">
        <v>15823</v>
      </c>
      <c r="O128" s="273" t="s">
        <v>15824</v>
      </c>
      <c r="P128" s="220"/>
      <c r="Q128" s="274" t="s">
        <v>15513</v>
      </c>
      <c r="R128" s="217" t="str">
        <f ca="1">IF(ISERROR($V128),"",OFFSET('Smelter Look-up'!$C$4,$V128-4,0)&amp;"")</f>
        <v>Inner Mongolia Qiankun Gold and Silver Refinery Share Co., Ltd.</v>
      </c>
      <c r="S128" s="225" t="str">
        <f t="shared" ca="1" si="15"/>
        <v>CN</v>
      </c>
      <c r="T128" s="225" t="str">
        <f ca="1">IF(B128="","",IF(ISERROR(MATCH($J128,SorP!$B$1:$B$6230,0)),"",INDIRECT("'SorP'!$A$"&amp;MATCH($J128,SorP!$B$1:$B$6230,0))))</f>
        <v>CN-NM</v>
      </c>
      <c r="U128" s="241"/>
      <c r="V128" s="275">
        <f>IF(C128="",NA(),MATCH($B128&amp;$C128,'Smelter Look-up'!$J:$J,0))</f>
        <v>105</v>
      </c>
      <c r="W128" s="276"/>
      <c r="X128" s="276">
        <f t="shared" si="16"/>
        <v>0</v>
      </c>
      <c r="Y128" s="276"/>
      <c r="Z128" s="276"/>
      <c r="AB128" s="278" t="str">
        <f t="shared" si="17"/>
        <v>GoldInner Mongolia Qiankun Gold and Silver Refinery Share Co., Ltd.</v>
      </c>
    </row>
    <row r="129" spans="1:28" s="277" customFormat="1" ht="50.4">
      <c r="A129" s="216" t="s">
        <v>698</v>
      </c>
      <c r="B129" s="217" t="s">
        <v>1153</v>
      </c>
      <c r="C129" s="221" t="s">
        <v>15825</v>
      </c>
      <c r="D129" s="283" t="s">
        <v>15825</v>
      </c>
      <c r="E129" s="217" t="s">
        <v>1134</v>
      </c>
      <c r="F129" s="217" t="str">
        <f ca="1">IF(ISERROR($V129),"",OFFSET('Smelter Look-up'!$E$4,$V129-4,0))</f>
        <v>CID000778</v>
      </c>
      <c r="G129" s="217" t="str">
        <f ca="1">IF(C129=$X$4,"Enter smelter details",IF(ISERROR($V129),"",OFFSET('Smelter Look-up'!$F$4,$V129-4,0)))</f>
        <v>RMI</v>
      </c>
      <c r="H129" s="218" t="s">
        <v>15826</v>
      </c>
      <c r="I129" s="219" t="s">
        <v>1622</v>
      </c>
      <c r="J129" s="219" t="s">
        <v>13202</v>
      </c>
      <c r="K129" s="273"/>
      <c r="L129" s="273"/>
      <c r="M129" s="273"/>
      <c r="N129" s="273"/>
      <c r="O129" s="273" t="s">
        <v>15827</v>
      </c>
      <c r="P129" s="220"/>
      <c r="Q129" s="274"/>
      <c r="R129" s="217" t="str">
        <f ca="1">IF(ISERROR($V129),"",OFFSET('Smelter Look-up'!$C$4,$V129-4,0)&amp;"")</f>
        <v>HwaSeong CJ CO., LTD.</v>
      </c>
      <c r="S129" s="225" t="str">
        <f t="shared" ca="1" si="15"/>
        <v>KR</v>
      </c>
      <c r="T129" s="225" t="str">
        <f ca="1">IF(B129="","",IF(ISERROR(MATCH($J129,SorP!$B$1:$B$6230,0)),"",INDIRECT("'SorP'!$A$"&amp;MATCH($J129,SorP!$B$1:$B$6230,0))))</f>
        <v>KR-41</v>
      </c>
      <c r="U129" s="241"/>
      <c r="V129" s="275">
        <f>IF(C129="",NA(),MATCH($B129&amp;$C129,'Smelter Look-up'!$J:$J,0))</f>
        <v>104</v>
      </c>
      <c r="W129" s="276"/>
      <c r="X129" s="276">
        <f t="shared" si="16"/>
        <v>0</v>
      </c>
      <c r="Y129" s="276"/>
      <c r="Z129" s="276"/>
      <c r="AB129" s="278" t="str">
        <f t="shared" si="17"/>
        <v>GoldHwaSeong CJ Co., Ltd.</v>
      </c>
    </row>
    <row r="130" spans="1:28" s="277" customFormat="1" ht="100.8">
      <c r="A130" s="216" t="s">
        <v>13513</v>
      </c>
      <c r="B130" s="217" t="s">
        <v>1153</v>
      </c>
      <c r="C130" s="221" t="s">
        <v>13512</v>
      </c>
      <c r="D130" s="283" t="s">
        <v>13512</v>
      </c>
      <c r="E130" s="217" t="s">
        <v>1123</v>
      </c>
      <c r="F130" s="217" t="str">
        <f ca="1">IF(ISERROR($V130),"",OFFSET('Smelter Look-up'!$E$4,$V130-4,0))</f>
        <v>CID000773</v>
      </c>
      <c r="G130" s="217" t="str">
        <f ca="1">IF(C130=$X$4,"Enter smelter details",IF(ISERROR($V130),"",OFFSET('Smelter Look-up'!$F$4,$V130-4,0)))</f>
        <v>RMI</v>
      </c>
      <c r="H130" s="218" t="s">
        <v>15828</v>
      </c>
      <c r="I130" s="219" t="s">
        <v>1813</v>
      </c>
      <c r="J130" s="219" t="s">
        <v>13970</v>
      </c>
      <c r="K130" s="273"/>
      <c r="L130" s="273"/>
      <c r="M130" s="273"/>
      <c r="N130" s="273"/>
      <c r="O130" s="273" t="s">
        <v>15829</v>
      </c>
      <c r="P130" s="220"/>
      <c r="Q130" s="274"/>
      <c r="R130" s="217" t="str">
        <f ca="1">IF(ISERROR($V130),"",OFFSET('Smelter Look-up'!$C$4,$V130-4,0)&amp;"")</f>
        <v>Hunan Guiyang yinxing Nonferrous Smelting Co., Ltd.</v>
      </c>
      <c r="S130" s="225" t="str">
        <f t="shared" ca="1" si="15"/>
        <v>CN</v>
      </c>
      <c r="T130" s="225" t="str">
        <f ca="1">IF(B130="","",IF(ISERROR(MATCH($J130,SorP!$B$1:$B$6230,0)),"",INDIRECT("'SorP'!$A$"&amp;MATCH($J130,SorP!$B$1:$B$6230,0))))</f>
        <v>CN-HN</v>
      </c>
      <c r="U130" s="241"/>
      <c r="V130" s="275">
        <f>IF(C130="",NA(),MATCH($B130&amp;$C130,'Smelter Look-up'!$J:$J,0))</f>
        <v>102</v>
      </c>
      <c r="W130" s="276"/>
      <c r="X130" s="276">
        <f t="shared" si="16"/>
        <v>0</v>
      </c>
      <c r="Y130" s="276"/>
      <c r="Z130" s="276"/>
      <c r="AB130" s="278" t="str">
        <f t="shared" si="17"/>
        <v>GoldHunan Guiyang yinxing Nonferrous Smelting Co., Ltd.</v>
      </c>
    </row>
    <row r="131" spans="1:28" s="277" customFormat="1" ht="63">
      <c r="A131" s="216" t="s">
        <v>697</v>
      </c>
      <c r="B131" s="217" t="s">
        <v>1153</v>
      </c>
      <c r="C131" s="221" t="s">
        <v>2324</v>
      </c>
      <c r="D131" s="283" t="s">
        <v>2324</v>
      </c>
      <c r="E131" s="217" t="s">
        <v>1123</v>
      </c>
      <c r="F131" s="217" t="str">
        <f ca="1">IF(ISERROR($V131),"",OFFSET('Smelter Look-up'!$E$4,$V131-4,0))</f>
        <v>CID000767</v>
      </c>
      <c r="G131" s="217" t="str">
        <f ca="1">IF(C131=$X$4,"Enter smelter details",IF(ISERROR($V131),"",OFFSET('Smelter Look-up'!$F$4,$V131-4,0)))</f>
        <v>RMI</v>
      </c>
      <c r="H131" s="218" t="s">
        <v>15830</v>
      </c>
      <c r="I131" s="219" t="s">
        <v>2238</v>
      </c>
      <c r="J131" s="219" t="s">
        <v>13970</v>
      </c>
      <c r="K131" s="273"/>
      <c r="L131" s="273"/>
      <c r="M131" s="273"/>
      <c r="N131" s="273"/>
      <c r="O131" s="273" t="s">
        <v>15831</v>
      </c>
      <c r="P131" s="220"/>
      <c r="Q131" s="274"/>
      <c r="R131" s="217" t="str">
        <f ca="1">IF(ISERROR($V131),"",OFFSET('Smelter Look-up'!$C$4,$V131-4,0)&amp;"")</f>
        <v>Hunan Chenzhou Mining Co., Ltd.</v>
      </c>
      <c r="S131" s="225" t="str">
        <f t="shared" ca="1" si="15"/>
        <v>CN</v>
      </c>
      <c r="T131" s="225" t="str">
        <f ca="1">IF(B131="","",IF(ISERROR(MATCH($J131,SorP!$B$1:$B$6230,0)),"",INDIRECT("'SorP'!$A$"&amp;MATCH($J131,SorP!$B$1:$B$6230,0))))</f>
        <v>CN-HN</v>
      </c>
      <c r="U131" s="241"/>
      <c r="V131" s="275">
        <f>IF(C131="",NA(),MATCH($B131&amp;$C131,'Smelter Look-up'!$J:$J,0))</f>
        <v>99</v>
      </c>
      <c r="W131" s="276"/>
      <c r="X131" s="276">
        <f t="shared" si="16"/>
        <v>0</v>
      </c>
      <c r="Y131" s="276"/>
      <c r="Z131" s="276"/>
      <c r="AB131" s="278" t="str">
        <f t="shared" si="17"/>
        <v>GoldHunan Chenzhou Mining Co., Ltd.</v>
      </c>
    </row>
    <row r="132" spans="1:28" s="277" customFormat="1" ht="226.8">
      <c r="A132" s="216" t="s">
        <v>696</v>
      </c>
      <c r="B132" s="217" t="s">
        <v>1153</v>
      </c>
      <c r="C132" s="221" t="s">
        <v>1250</v>
      </c>
      <c r="D132" s="283" t="s">
        <v>1250</v>
      </c>
      <c r="E132" s="217" t="s">
        <v>1124</v>
      </c>
      <c r="F132" s="217" t="str">
        <f ca="1">IF(ISERROR($V132),"",OFFSET('Smelter Look-up'!$E$4,$V132-4,0))</f>
        <v>CID000711</v>
      </c>
      <c r="G132" s="217" t="str">
        <f ca="1">IF(C132=$X$4,"Enter smelter details",IF(ISERROR($V132),"",OFFSET('Smelter Look-up'!$F$4,$V132-4,0)))</f>
        <v>RMI</v>
      </c>
      <c r="H132" s="218" t="s">
        <v>15832</v>
      </c>
      <c r="I132" s="219" t="s">
        <v>1619</v>
      </c>
      <c r="J132" s="219" t="s">
        <v>4397</v>
      </c>
      <c r="K132" s="273"/>
      <c r="L132" s="273"/>
      <c r="M132" s="273"/>
      <c r="N132" s="273" t="s">
        <v>15833</v>
      </c>
      <c r="O132" s="273" t="s">
        <v>15834</v>
      </c>
      <c r="P132" s="220"/>
      <c r="Q132" s="274"/>
      <c r="R132" s="217" t="str">
        <f ca="1">IF(ISERROR($V132),"",OFFSET('Smelter Look-up'!$C$4,$V132-4,0)&amp;"")</f>
        <v>Heraeus Precious Metals GmbH &amp; Co. KG</v>
      </c>
      <c r="S132" s="225" t="str">
        <f t="shared" ca="1" si="15"/>
        <v>DE</v>
      </c>
      <c r="T132" s="225" t="str">
        <f ca="1">IF(B132="","",IF(ISERROR(MATCH($J132,SorP!$B$1:$B$6230,0)),"",INDIRECT("'SorP'!$A$"&amp;MATCH($J132,SorP!$B$1:$B$6230,0))))</f>
        <v>DE-HE</v>
      </c>
      <c r="U132" s="241"/>
      <c r="V132" s="275">
        <f>IF(C132="",NA(),MATCH($B132&amp;$C132,'Smelter Look-up'!$J:$J,0))</f>
        <v>98</v>
      </c>
      <c r="W132" s="276"/>
      <c r="X132" s="276">
        <f t="shared" si="16"/>
        <v>0</v>
      </c>
      <c r="Y132" s="276"/>
      <c r="Z132" s="276"/>
      <c r="AB132" s="278" t="str">
        <f t="shared" si="17"/>
        <v>GoldHeraeus Precious Metals GmbH &amp; Co. KG</v>
      </c>
    </row>
    <row r="133" spans="1:28" s="277" customFormat="1" ht="340.2">
      <c r="A133" s="216" t="s">
        <v>695</v>
      </c>
      <c r="B133" s="217" t="s">
        <v>1153</v>
      </c>
      <c r="C133" s="221" t="s">
        <v>2647</v>
      </c>
      <c r="D133" s="283" t="s">
        <v>2647</v>
      </c>
      <c r="E133" s="217" t="s">
        <v>1123</v>
      </c>
      <c r="F133" s="217" t="str">
        <f ca="1">IF(ISERROR($V133),"",OFFSET('Smelter Look-up'!$E$4,$V133-4,0))</f>
        <v>CID000707</v>
      </c>
      <c r="G133" s="217" t="str">
        <f ca="1">IF(C133=$X$4,"Enter smelter details",IF(ISERROR($V133),"",OFFSET('Smelter Look-up'!$F$4,$V133-4,0)))</f>
        <v>RMI</v>
      </c>
      <c r="H133" s="218" t="s">
        <v>15835</v>
      </c>
      <c r="I133" s="219" t="s">
        <v>1618</v>
      </c>
      <c r="J133" s="219" t="s">
        <v>14194</v>
      </c>
      <c r="K133" s="273"/>
      <c r="L133" s="273"/>
      <c r="M133" s="273"/>
      <c r="N133" s="273" t="s">
        <v>15836</v>
      </c>
      <c r="O133" s="273" t="s">
        <v>15837</v>
      </c>
      <c r="P133" s="220"/>
      <c r="Q133" s="274" t="s">
        <v>15513</v>
      </c>
      <c r="R133" s="217" t="str">
        <f ca="1">IF(ISERROR($V133),"",OFFSET('Smelter Look-up'!$C$4,$V133-4,0)&amp;"")</f>
        <v>Heraeus Metals Hong Kong Ltd.</v>
      </c>
      <c r="S133" s="225" t="str">
        <f t="shared" ref="S133" ca="1" si="18">IF(B133="","",IF(ISERROR(MATCH($E133,CL,0)),"Unknown",INDIRECT("'C'!$A$"&amp;MATCH($E133,CL,0)+1)))</f>
        <v>CN</v>
      </c>
      <c r="T133" s="225" t="str">
        <f ca="1">IF(B133="","",IF(ISERROR(MATCH($J133,SorP!$B$1:$B$6230,0)),"",INDIRECT("'SorP'!$A$"&amp;MATCH($J133,SorP!$B$1:$B$6230,0))))</f>
        <v>CN-HK</v>
      </c>
      <c r="U133" s="241"/>
      <c r="V133" s="275">
        <f>IF(C133="",NA(),MATCH($B133&amp;$C133,'Smelter Look-up'!$J:$J,0))</f>
        <v>97</v>
      </c>
      <c r="W133" s="276"/>
      <c r="X133" s="276">
        <f t="shared" ref="X133" si="19">IF(AND(C133="Smelter not listed",OR(LEN(D133)=0,LEN(E133)=0)),1,0)</f>
        <v>0</v>
      </c>
      <c r="Y133" s="276"/>
      <c r="Z133" s="276"/>
      <c r="AB133" s="278" t="str">
        <f t="shared" ref="AB133" si="20">B133&amp;C133</f>
        <v>GoldHeraeus Metals Hong Kong Ltd.</v>
      </c>
    </row>
    <row r="134" spans="1:28" s="277" customFormat="1" ht="226.8">
      <c r="A134" s="216" t="s">
        <v>694</v>
      </c>
      <c r="B134" s="217" t="s">
        <v>1153</v>
      </c>
      <c r="C134" s="221" t="s">
        <v>1062</v>
      </c>
      <c r="D134" s="283" t="s">
        <v>1062</v>
      </c>
      <c r="E134" s="217" t="s">
        <v>1124</v>
      </c>
      <c r="F134" s="217" t="str">
        <f ca="1">IF(ISERROR($V134),"",OFFSET('Smelter Look-up'!$E$4,$V134-4,0))</f>
        <v>CID000694</v>
      </c>
      <c r="G134" s="217" t="str">
        <f ca="1">IF(C134=$X$4,"Enter smelter details",IF(ISERROR($V134),"",OFFSET('Smelter Look-up'!$F$4,$V134-4,0)))</f>
        <v>RMI</v>
      </c>
      <c r="H134" s="218" t="s">
        <v>15838</v>
      </c>
      <c r="I134" s="219" t="s">
        <v>1572</v>
      </c>
      <c r="J134" s="219" t="s">
        <v>1573</v>
      </c>
      <c r="K134" s="273"/>
      <c r="L134" s="273"/>
      <c r="M134" s="273"/>
      <c r="N134" s="273" t="s">
        <v>15839</v>
      </c>
      <c r="O134" s="273" t="s">
        <v>15840</v>
      </c>
      <c r="P134" s="220"/>
      <c r="Q134" s="274" t="s">
        <v>15513</v>
      </c>
      <c r="R134" s="217" t="str">
        <f ca="1">IF(ISERROR($V134),"",OFFSET('Smelter Look-up'!$C$4,$V134-4,0)&amp;"")</f>
        <v>Heimerle + Meule GmbH</v>
      </c>
      <c r="S134" s="225" t="str">
        <f t="shared" ref="S134:S165" ca="1" si="21">IF(B134="","",IF(ISERROR(MATCH($E134,CL,0)),"Unknown",INDIRECT("'C'!$A$"&amp;MATCH($E134,CL,0)+1)))</f>
        <v>DE</v>
      </c>
      <c r="T134" s="225" t="str">
        <f ca="1">IF(B134="","",IF(ISERROR(MATCH($J134,SorP!$B$1:$B$6230,0)),"",INDIRECT("'SorP'!$A$"&amp;MATCH($J134,SorP!$B$1:$B$6230,0))))</f>
        <v>DE-BW</v>
      </c>
      <c r="U134" s="241"/>
      <c r="V134" s="275">
        <f>IF(C134="",NA(),MATCH($B134&amp;$C134,'Smelter Look-up'!$J:$J,0))</f>
        <v>92</v>
      </c>
      <c r="W134" s="276"/>
      <c r="X134" s="276">
        <f t="shared" ref="X134:X165" si="22">IF(AND(C134="Smelter not listed",OR(LEN(D134)=0,LEN(E134)=0)),1,0)</f>
        <v>0</v>
      </c>
      <c r="Y134" s="276"/>
      <c r="Z134" s="276"/>
      <c r="AB134" s="278" t="str">
        <f t="shared" ref="AB134:AB165" si="23">B134&amp;C134</f>
        <v>GoldHeimerle + Meule GmbH</v>
      </c>
    </row>
    <row r="135" spans="1:28" s="277" customFormat="1" ht="176.4">
      <c r="A135" s="216" t="s">
        <v>2645</v>
      </c>
      <c r="B135" s="217" t="s">
        <v>1153</v>
      </c>
      <c r="C135" s="221" t="s">
        <v>14213</v>
      </c>
      <c r="D135" s="283" t="s">
        <v>14213</v>
      </c>
      <c r="E135" s="217" t="s">
        <v>1134</v>
      </c>
      <c r="F135" s="217" t="str">
        <f ca="1">IF(ISERROR($V135),"",OFFSET('Smelter Look-up'!$E$4,$V135-4,0))</f>
        <v>CID000689</v>
      </c>
      <c r="G135" s="217" t="str">
        <f ca="1">IF(C135=$X$4,"Enter smelter details",IF(ISERROR($V135),"",OFFSET('Smelter Look-up'!$F$4,$V135-4,0)))</f>
        <v>RMI</v>
      </c>
      <c r="H135" s="218" t="s">
        <v>15841</v>
      </c>
      <c r="I135" s="219" t="s">
        <v>2646</v>
      </c>
      <c r="J135" s="219" t="s">
        <v>13197</v>
      </c>
      <c r="K135" s="273"/>
      <c r="L135" s="273"/>
      <c r="M135" s="273"/>
      <c r="N135" s="273" t="s">
        <v>15842</v>
      </c>
      <c r="O135" s="273" t="s">
        <v>15843</v>
      </c>
      <c r="P135" s="220"/>
      <c r="Q135" s="274" t="s">
        <v>15513</v>
      </c>
      <c r="R135" s="217" t="str">
        <f ca="1">IF(ISERROR($V135),"",OFFSET('Smelter Look-up'!$C$4,$V135-4,0)&amp;"")</f>
        <v>LT Metal Ltd.</v>
      </c>
      <c r="S135" s="225" t="str">
        <f t="shared" ca="1" si="21"/>
        <v>KR</v>
      </c>
      <c r="T135" s="225" t="str">
        <f ca="1">IF(B135="","",IF(ISERROR(MATCH($J135,SorP!$B$1:$B$6230,0)),"",INDIRECT("'SorP'!$A$"&amp;MATCH($J135,SorP!$B$1:$B$6230,0))))</f>
        <v>KR-28</v>
      </c>
      <c r="U135" s="241"/>
      <c r="V135" s="275">
        <f>IF(C135="",NA(),MATCH($B135&amp;$C135,'Smelter Look-up'!$J:$J,0))</f>
        <v>144</v>
      </c>
      <c r="W135" s="276"/>
      <c r="X135" s="276">
        <f t="shared" si="22"/>
        <v>0</v>
      </c>
      <c r="Y135" s="276"/>
      <c r="Z135" s="276"/>
      <c r="AB135" s="278" t="str">
        <f t="shared" si="23"/>
        <v>GoldLT Metal Ltd.</v>
      </c>
    </row>
    <row r="136" spans="1:28" s="277" customFormat="1" ht="75.599999999999994">
      <c r="A136" s="216" t="s">
        <v>405</v>
      </c>
      <c r="B136" s="217" t="s">
        <v>1153</v>
      </c>
      <c r="C136" s="221" t="s">
        <v>404</v>
      </c>
      <c r="D136" s="283" t="s">
        <v>404</v>
      </c>
      <c r="E136" s="217" t="s">
        <v>1123</v>
      </c>
      <c r="F136" s="217" t="str">
        <f ca="1">IF(ISERROR($V136),"",OFFSET('Smelter Look-up'!$E$4,$V136-4,0))</f>
        <v>CID000671</v>
      </c>
      <c r="G136" s="217" t="str">
        <f ca="1">IF(C136=$X$4,"Enter smelter details",IF(ISERROR($V136),"",OFFSET('Smelter Look-up'!$F$4,$V136-4,0)))</f>
        <v>RMI</v>
      </c>
      <c r="H136" s="218" t="s">
        <v>15844</v>
      </c>
      <c r="I136" s="219" t="s">
        <v>1617</v>
      </c>
      <c r="J136" s="219" t="s">
        <v>13963</v>
      </c>
      <c r="K136" s="273"/>
      <c r="L136" s="273"/>
      <c r="M136" s="273"/>
      <c r="N136" s="273"/>
      <c r="O136" s="273" t="s">
        <v>15845</v>
      </c>
      <c r="P136" s="220"/>
      <c r="Q136" s="274"/>
      <c r="R136" s="217" t="str">
        <f ca="1">IF(ISERROR($V136),"",OFFSET('Smelter Look-up'!$C$4,$V136-4,0)&amp;"")</f>
        <v>Hangzhou Fuchunjiang Smelting Co., Ltd.</v>
      </c>
      <c r="S136" s="225" t="str">
        <f t="shared" ca="1" si="21"/>
        <v>CN</v>
      </c>
      <c r="T136" s="225" t="str">
        <f ca="1">IF(B136="","",IF(ISERROR(MATCH($J136,SorP!$B$1:$B$6230,0)),"",INDIRECT("'SorP'!$A$"&amp;MATCH($J136,SorP!$B$1:$B$6230,0))))</f>
        <v>CN-ZJ</v>
      </c>
      <c r="U136" s="241"/>
      <c r="V136" s="275">
        <f>IF(C136="",NA(),MATCH($B136&amp;$C136,'Smelter Look-up'!$J:$J,0))</f>
        <v>90</v>
      </c>
      <c r="W136" s="276"/>
      <c r="X136" s="276">
        <f t="shared" si="22"/>
        <v>0</v>
      </c>
      <c r="Y136" s="276"/>
      <c r="Z136" s="276"/>
      <c r="AB136" s="278" t="str">
        <f t="shared" si="23"/>
        <v>GoldHangzhou Fuchunjiang Smelting Co., Ltd.</v>
      </c>
    </row>
    <row r="137" spans="1:28" s="277" customFormat="1" ht="113.4">
      <c r="A137" s="216" t="s">
        <v>1614</v>
      </c>
      <c r="B137" s="217" t="s">
        <v>1153</v>
      </c>
      <c r="C137" s="221" t="s">
        <v>1613</v>
      </c>
      <c r="D137" s="283" t="s">
        <v>1613</v>
      </c>
      <c r="E137" s="217" t="s">
        <v>1123</v>
      </c>
      <c r="F137" s="217" t="str">
        <f ca="1">IF(ISERROR($V137),"",OFFSET('Smelter Look-up'!$E$4,$V137-4,0))</f>
        <v>CID000651</v>
      </c>
      <c r="G137" s="217" t="str">
        <f ca="1">IF(C137=$X$4,"Enter smelter details",IF(ISERROR($V137),"",OFFSET('Smelter Look-up'!$F$4,$V137-4,0)))</f>
        <v>RMI</v>
      </c>
      <c r="H137" s="218" t="s">
        <v>15690</v>
      </c>
      <c r="I137" s="219" t="s">
        <v>1615</v>
      </c>
      <c r="J137" s="219" t="s">
        <v>13967</v>
      </c>
      <c r="K137" s="273"/>
      <c r="L137" s="273"/>
      <c r="M137" s="273"/>
      <c r="N137" s="273"/>
      <c r="O137" s="273" t="s">
        <v>15846</v>
      </c>
      <c r="P137" s="220"/>
      <c r="Q137" s="274"/>
      <c r="R137" s="217" t="str">
        <f ca="1">IF(ISERROR($V137),"",OFFSET('Smelter Look-up'!$C$4,$V137-4,0)&amp;"")</f>
        <v>Guoda Safina High-Tech Environmental Refinery Co., Ltd.</v>
      </c>
      <c r="S137" s="225" t="str">
        <f t="shared" ca="1" si="21"/>
        <v>CN</v>
      </c>
      <c r="T137" s="225" t="str">
        <f ca="1">IF(B137="","",IF(ISERROR(MATCH($J137,SorP!$B$1:$B$6230,0)),"",INDIRECT("'SorP'!$A$"&amp;MATCH($J137,SorP!$B$1:$B$6230,0))))</f>
        <v>CN-SD</v>
      </c>
      <c r="U137" s="241"/>
      <c r="V137" s="275">
        <f>IF(C137="",NA(),MATCH($B137&amp;$C137,'Smelter Look-up'!$J:$J,0))</f>
        <v>89</v>
      </c>
      <c r="W137" s="276"/>
      <c r="X137" s="276">
        <f t="shared" si="22"/>
        <v>0</v>
      </c>
      <c r="Y137" s="276"/>
      <c r="Z137" s="276"/>
      <c r="AB137" s="278" t="str">
        <f t="shared" si="23"/>
        <v>GoldGuoda Safina High-Tech Environmental Refinery Co., Ltd.</v>
      </c>
    </row>
    <row r="138" spans="1:28" s="277" customFormat="1" ht="63">
      <c r="A138" s="216" t="s">
        <v>691</v>
      </c>
      <c r="B138" s="217" t="s">
        <v>1153</v>
      </c>
      <c r="C138" s="221" t="s">
        <v>13257</v>
      </c>
      <c r="D138" s="283" t="s">
        <v>13257</v>
      </c>
      <c r="E138" s="217" t="s">
        <v>1123</v>
      </c>
      <c r="F138" s="217" t="str">
        <f ca="1">IF(ISERROR($V138),"",OFFSET('Smelter Look-up'!$E$4,$V138-4,0))</f>
        <v>CID000522</v>
      </c>
      <c r="G138" s="217" t="str">
        <f ca="1">IF(C138=$X$4,"Enter smelter details",IF(ISERROR($V138),"",OFFSET('Smelter Look-up'!$F$4,$V138-4,0)))</f>
        <v>RMI</v>
      </c>
      <c r="H138" s="218" t="s">
        <v>15847</v>
      </c>
      <c r="I138" s="219" t="s">
        <v>1612</v>
      </c>
      <c r="J138" s="219" t="s">
        <v>13977</v>
      </c>
      <c r="K138" s="273"/>
      <c r="L138" s="273"/>
      <c r="M138" s="273"/>
      <c r="N138" s="273"/>
      <c r="O138" s="273" t="s">
        <v>15848</v>
      </c>
      <c r="P138" s="220"/>
      <c r="Q138" s="274"/>
      <c r="R138" s="217" t="str">
        <f ca="1">IF(ISERROR($V138),"",OFFSET('Smelter Look-up'!$C$4,$V138-4,0)&amp;"")</f>
        <v>Refinery of Seemine Gold Co., Ltd.</v>
      </c>
      <c r="S138" s="225" t="str">
        <f t="shared" ca="1" si="21"/>
        <v>CN</v>
      </c>
      <c r="T138" s="225" t="str">
        <f ca="1">IF(B138="","",IF(ISERROR(MATCH($J138,SorP!$B$1:$B$6230,0)),"",INDIRECT("'SorP'!$A$"&amp;MATCH($J138,SorP!$B$1:$B$6230,0))))</f>
        <v>CN-GS</v>
      </c>
      <c r="U138" s="241"/>
      <c r="V138" s="275">
        <f>IF(C138="",NA(),MATCH($B138&amp;$C138,'Smelter Look-up'!$J:$J,0))</f>
        <v>199</v>
      </c>
      <c r="W138" s="276"/>
      <c r="X138" s="276">
        <f t="shared" si="22"/>
        <v>0</v>
      </c>
      <c r="Y138" s="276"/>
      <c r="Z138" s="276"/>
      <c r="AB138" s="278" t="str">
        <f t="shared" si="23"/>
        <v>GoldRefinery of Seemine Gold Co., Ltd.</v>
      </c>
    </row>
    <row r="139" spans="1:28" s="277" customFormat="1" ht="226.8">
      <c r="A139" s="216" t="s">
        <v>690</v>
      </c>
      <c r="B139" s="217" t="s">
        <v>1153</v>
      </c>
      <c r="C139" s="221" t="s">
        <v>2308</v>
      </c>
      <c r="D139" s="283" t="s">
        <v>2308</v>
      </c>
      <c r="E139" s="217" t="s">
        <v>906</v>
      </c>
      <c r="F139" s="217" t="str">
        <f ca="1">IF(ISERROR($V139),"",OFFSET('Smelter Look-up'!$E$4,$V139-4,0))</f>
        <v>CID000493</v>
      </c>
      <c r="G139" s="217" t="str">
        <f ca="1">IF(C139=$X$4,"Enter smelter details",IF(ISERROR($V139),"",OFFSET('Smelter Look-up'!$F$4,$V139-4,0)))</f>
        <v>RMI</v>
      </c>
      <c r="H139" s="218" t="s">
        <v>15849</v>
      </c>
      <c r="I139" s="219" t="s">
        <v>1611</v>
      </c>
      <c r="J139" s="219" t="s">
        <v>10330</v>
      </c>
      <c r="K139" s="273"/>
      <c r="L139" s="273"/>
      <c r="M139" s="273"/>
      <c r="N139" s="273" t="s">
        <v>15850</v>
      </c>
      <c r="O139" s="273" t="s">
        <v>15851</v>
      </c>
      <c r="P139" s="220"/>
      <c r="Q139" s="274" t="s">
        <v>15513</v>
      </c>
      <c r="R139" s="217" t="str">
        <f ca="1">IF(ISERROR($V139),"",OFFSET('Smelter Look-up'!$C$4,$V139-4,0)&amp;"")</f>
        <v>OJSC Novosibirsk Refinery</v>
      </c>
      <c r="S139" s="225" t="str">
        <f t="shared" ca="1" si="21"/>
        <v>RU</v>
      </c>
      <c r="T139" s="225" t="str">
        <f ca="1">IF(B139="","",IF(ISERROR(MATCH($J139,SorP!$B$1:$B$6230,0)),"",INDIRECT("'SorP'!$A$"&amp;MATCH($J139,SorP!$B$1:$B$6230,0))))</f>
        <v>RU-NVS</v>
      </c>
      <c r="U139" s="241"/>
      <c r="V139" s="275">
        <f>IF(C139="",NA(),MATCH($B139&amp;$C139,'Smelter Look-up'!$J:$J,0))</f>
        <v>183</v>
      </c>
      <c r="W139" s="276"/>
      <c r="X139" s="276">
        <f t="shared" si="22"/>
        <v>0</v>
      </c>
      <c r="Y139" s="276"/>
      <c r="Z139" s="276"/>
      <c r="AB139" s="278" t="str">
        <f t="shared" si="23"/>
        <v>GoldOJSC Novosibirsk Refinery</v>
      </c>
    </row>
    <row r="140" spans="1:28" s="277" customFormat="1" ht="138.6">
      <c r="A140" s="216" t="s">
        <v>407</v>
      </c>
      <c r="B140" s="217" t="s">
        <v>1153</v>
      </c>
      <c r="C140" s="221" t="s">
        <v>14208</v>
      </c>
      <c r="D140" s="283" t="s">
        <v>14208</v>
      </c>
      <c r="E140" s="217" t="s">
        <v>1131</v>
      </c>
      <c r="F140" s="217" t="str">
        <f ca="1">IF(ISERROR($V140),"",OFFSET('Smelter Look-up'!$E$4,$V140-4,0))</f>
        <v>CID000425</v>
      </c>
      <c r="G140" s="217" t="str">
        <f ca="1">IF(C140=$X$4,"Enter smelter details",IF(ISERROR($V140),"",OFFSET('Smelter Look-up'!$F$4,$V140-4,0)))</f>
        <v>RMI</v>
      </c>
      <c r="H140" s="218" t="s">
        <v>15852</v>
      </c>
      <c r="I140" s="219" t="s">
        <v>1609</v>
      </c>
      <c r="J140" s="219" t="s">
        <v>1610</v>
      </c>
      <c r="K140" s="273"/>
      <c r="L140" s="273"/>
      <c r="M140" s="273"/>
      <c r="N140" s="273" t="s">
        <v>15853</v>
      </c>
      <c r="O140" s="273" t="s">
        <v>15854</v>
      </c>
      <c r="P140" s="220"/>
      <c r="Q140" s="274" t="s">
        <v>15513</v>
      </c>
      <c r="R140" s="217" t="str">
        <f ca="1">IF(ISERROR($V140),"",OFFSET('Smelter Look-up'!$C$4,$V140-4,0)&amp;"")</f>
        <v>Eco-System Recycling Co., Ltd. East Plant</v>
      </c>
      <c r="S140" s="225" t="str">
        <f t="shared" ca="1" si="21"/>
        <v>JP</v>
      </c>
      <c r="T140" s="225" t="str">
        <f ca="1">IF(B140="","",IF(ISERROR(MATCH($J140,SorP!$B$1:$B$6230,0)),"",INDIRECT("'SorP'!$A$"&amp;MATCH($J140,SorP!$B$1:$B$6230,0))))</f>
        <v>JP-11</v>
      </c>
      <c r="U140" s="241"/>
      <c r="V140" s="275">
        <f>IF(C140="",NA(),MATCH($B140&amp;$C140,'Smelter Look-up'!$J:$J,0))</f>
        <v>69</v>
      </c>
      <c r="W140" s="276"/>
      <c r="X140" s="276">
        <f t="shared" si="22"/>
        <v>0</v>
      </c>
      <c r="Y140" s="276"/>
      <c r="Z140" s="276"/>
      <c r="AB140" s="278" t="str">
        <f t="shared" si="23"/>
        <v>GoldEco-System Recycling Co., Ltd. East Plant</v>
      </c>
    </row>
    <row r="141" spans="1:28" s="277" customFormat="1" ht="163.80000000000001">
      <c r="A141" s="216" t="s">
        <v>689</v>
      </c>
      <c r="B141" s="217" t="s">
        <v>1153</v>
      </c>
      <c r="C141" s="221" t="s">
        <v>929</v>
      </c>
      <c r="D141" s="283" t="s">
        <v>929</v>
      </c>
      <c r="E141" s="217" t="s">
        <v>1131</v>
      </c>
      <c r="F141" s="217" t="str">
        <f ca="1">IF(ISERROR($V141),"",OFFSET('Smelter Look-up'!$E$4,$V141-4,0))</f>
        <v>CID000401</v>
      </c>
      <c r="G141" s="217" t="str">
        <f ca="1">IF(C141=$X$4,"Enter smelter details",IF(ISERROR($V141),"",OFFSET('Smelter Look-up'!$F$4,$V141-4,0)))</f>
        <v>RMI</v>
      </c>
      <c r="H141" s="218" t="s">
        <v>15855</v>
      </c>
      <c r="I141" s="219" t="s">
        <v>1604</v>
      </c>
      <c r="J141" s="219" t="s">
        <v>1605</v>
      </c>
      <c r="K141" s="273"/>
      <c r="L141" s="273"/>
      <c r="M141" s="273"/>
      <c r="N141" s="273" t="s">
        <v>15856</v>
      </c>
      <c r="O141" s="273" t="s">
        <v>15857</v>
      </c>
      <c r="P141" s="220"/>
      <c r="Q141" s="274" t="s">
        <v>15513</v>
      </c>
      <c r="R141" s="217" t="str">
        <f ca="1">IF(ISERROR($V141),"",OFFSET('Smelter Look-up'!$C$4,$V141-4,0)&amp;"")</f>
        <v>Dowa</v>
      </c>
      <c r="S141" s="225" t="str">
        <f t="shared" ca="1" si="21"/>
        <v>JP</v>
      </c>
      <c r="T141" s="225" t="str">
        <f ca="1">IF(B141="","",IF(ISERROR(MATCH($J141,SorP!$B$1:$B$6230,0)),"",INDIRECT("'SorP'!$A$"&amp;MATCH($J141,SorP!$B$1:$B$6230,0))))</f>
        <v>JP-05</v>
      </c>
      <c r="U141" s="241"/>
      <c r="V141" s="275">
        <f>IF(C141="",NA(),MATCH($B141&amp;$C141,'Smelter Look-up'!$J:$J,0))</f>
        <v>63</v>
      </c>
      <c r="W141" s="276"/>
      <c r="X141" s="276">
        <f t="shared" si="22"/>
        <v>0</v>
      </c>
      <c r="Y141" s="276"/>
      <c r="Z141" s="276"/>
      <c r="AB141" s="278" t="str">
        <f t="shared" si="23"/>
        <v>GoldDowa</v>
      </c>
    </row>
    <row r="142" spans="1:28" s="277" customFormat="1" ht="189">
      <c r="A142" s="216" t="s">
        <v>688</v>
      </c>
      <c r="B142" s="217" t="s">
        <v>1153</v>
      </c>
      <c r="C142" s="221" t="s">
        <v>13251</v>
      </c>
      <c r="D142" s="283" t="s">
        <v>13251</v>
      </c>
      <c r="E142" s="217" t="s">
        <v>1124</v>
      </c>
      <c r="F142" s="217" t="str">
        <f ca="1">IF(ISERROR($V142),"",OFFSET('Smelter Look-up'!$E$4,$V142-4,0))</f>
        <v>CID000362</v>
      </c>
      <c r="G142" s="217" t="str">
        <f ca="1">IF(C142=$X$4,"Enter smelter details",IF(ISERROR($V142),"",OFFSET('Smelter Look-up'!$F$4,$V142-4,0)))</f>
        <v>RMI</v>
      </c>
      <c r="H142" s="218" t="s">
        <v>15838</v>
      </c>
      <c r="I142" s="219" t="s">
        <v>1572</v>
      </c>
      <c r="J142" s="219" t="s">
        <v>1573</v>
      </c>
      <c r="K142" s="273"/>
      <c r="L142" s="273"/>
      <c r="M142" s="273"/>
      <c r="N142" s="273" t="s">
        <v>15858</v>
      </c>
      <c r="O142" s="273" t="s">
        <v>15859</v>
      </c>
      <c r="P142" s="220"/>
      <c r="Q142" s="274" t="s">
        <v>15513</v>
      </c>
      <c r="R142" s="217" t="str">
        <f ca="1">IF(ISERROR($V142),"",OFFSET('Smelter Look-up'!$C$4,$V142-4,0)&amp;"")</f>
        <v>DODUCO Contacts and Refining GmbH</v>
      </c>
      <c r="S142" s="225" t="str">
        <f t="shared" ca="1" si="21"/>
        <v>DE</v>
      </c>
      <c r="T142" s="225" t="str">
        <f ca="1">IF(B142="","",IF(ISERROR(MATCH($J142,SorP!$B$1:$B$6230,0)),"",INDIRECT("'SorP'!$A$"&amp;MATCH($J142,SorP!$B$1:$B$6230,0))))</f>
        <v>DE-BW</v>
      </c>
      <c r="U142" s="241"/>
      <c r="V142" s="275">
        <f>IF(C142="",NA(),MATCH($B142&amp;$C142,'Smelter Look-up'!$J:$J,0))</f>
        <v>61</v>
      </c>
      <c r="W142" s="276"/>
      <c r="X142" s="276">
        <f t="shared" si="22"/>
        <v>0</v>
      </c>
      <c r="Y142" s="276"/>
      <c r="Z142" s="276"/>
      <c r="AB142" s="278" t="str">
        <f t="shared" si="23"/>
        <v>GoldDODUCO Contacts and Refining GmbH</v>
      </c>
    </row>
    <row r="143" spans="1:28" s="277" customFormat="1" ht="138.6">
      <c r="A143" s="216" t="s">
        <v>686</v>
      </c>
      <c r="B143" s="217" t="s">
        <v>1153</v>
      </c>
      <c r="C143" s="221" t="s">
        <v>2368</v>
      </c>
      <c r="D143" s="283" t="s">
        <v>2368</v>
      </c>
      <c r="E143" s="217" t="s">
        <v>1134</v>
      </c>
      <c r="F143" s="217" t="str">
        <f ca="1">IF(ISERROR($V143),"",OFFSET('Smelter Look-up'!$E$4,$V143-4,0))</f>
        <v>CID000359</v>
      </c>
      <c r="G143" s="217" t="str">
        <f ca="1">IF(C143=$X$4,"Enter smelter details",IF(ISERROR($V143),"",OFFSET('Smelter Look-up'!$F$4,$V143-4,0)))</f>
        <v>RMI</v>
      </c>
      <c r="H143" s="218" t="s">
        <v>15860</v>
      </c>
      <c r="I143" s="219" t="s">
        <v>1603</v>
      </c>
      <c r="J143" s="219" t="s">
        <v>13202</v>
      </c>
      <c r="K143" s="273"/>
      <c r="L143" s="273"/>
      <c r="M143" s="273"/>
      <c r="N143" s="273" t="s">
        <v>15541</v>
      </c>
      <c r="O143" s="273" t="s">
        <v>15861</v>
      </c>
      <c r="P143" s="220"/>
      <c r="Q143" s="274" t="s">
        <v>15513</v>
      </c>
      <c r="R143" s="217" t="str">
        <f ca="1">IF(ISERROR($V143),"",OFFSET('Smelter Look-up'!$C$4,$V143-4,0)&amp;"")</f>
        <v>DSC (Do Sung Corporation)</v>
      </c>
      <c r="S143" s="225" t="str">
        <f t="shared" ca="1" si="21"/>
        <v>KR</v>
      </c>
      <c r="T143" s="225" t="str">
        <f ca="1">IF(B143="","",IF(ISERROR(MATCH($J143,SorP!$B$1:$B$6230,0)),"",INDIRECT("'SorP'!$A$"&amp;MATCH($J143,SorP!$B$1:$B$6230,0))))</f>
        <v>KR-41</v>
      </c>
      <c r="U143" s="241"/>
      <c r="V143" s="275">
        <f>IF(C143="",NA(),MATCH($B143&amp;$C143,'Smelter Look-up'!$J:$J,0))</f>
        <v>68</v>
      </c>
      <c r="W143" s="276"/>
      <c r="X143" s="276">
        <f t="shared" si="22"/>
        <v>0</v>
      </c>
      <c r="Y143" s="276"/>
      <c r="Z143" s="276"/>
      <c r="AB143" s="278" t="str">
        <f t="shared" si="23"/>
        <v>GoldDSC (Do Sung Corporation)</v>
      </c>
    </row>
    <row r="144" spans="1:28" s="277" customFormat="1" ht="151.19999999999999">
      <c r="A144" s="216" t="s">
        <v>685</v>
      </c>
      <c r="B144" s="217" t="s">
        <v>1153</v>
      </c>
      <c r="C144" s="221" t="s">
        <v>684</v>
      </c>
      <c r="D144" s="283" t="s">
        <v>684</v>
      </c>
      <c r="E144" s="217" t="s">
        <v>1123</v>
      </c>
      <c r="F144" s="217" t="str">
        <f ca="1">IF(ISERROR($V144),"",OFFSET('Smelter Look-up'!$E$4,$V144-4,0))</f>
        <v>CID000343</v>
      </c>
      <c r="G144" s="217" t="str">
        <f ca="1">IF(C144=$X$4,"Enter smelter details",IF(ISERROR($V144),"",OFFSET('Smelter Look-up'!$F$4,$V144-4,0)))</f>
        <v>RMI</v>
      </c>
      <c r="H144" s="218" t="s">
        <v>15862</v>
      </c>
      <c r="I144" s="219" t="s">
        <v>1602</v>
      </c>
      <c r="J144" s="219" t="s">
        <v>13969</v>
      </c>
      <c r="K144" s="273"/>
      <c r="L144" s="273"/>
      <c r="M144" s="273"/>
      <c r="N144" s="273"/>
      <c r="O144" s="273" t="s">
        <v>15863</v>
      </c>
      <c r="P144" s="220"/>
      <c r="Q144" s="274" t="s">
        <v>15513</v>
      </c>
      <c r="R144" s="217" t="str">
        <f ca="1">IF(ISERROR($V144),"",OFFSET('Smelter Look-up'!$C$4,$V144-4,0)&amp;"")</f>
        <v>Daye Non-Ferrous Metals Mining Ltd.</v>
      </c>
      <c r="S144" s="225" t="str">
        <f t="shared" ca="1" si="21"/>
        <v>CN</v>
      </c>
      <c r="T144" s="225" t="str">
        <f ca="1">IF(B144="","",IF(ISERROR(MATCH($J144,SorP!$B$1:$B$6230,0)),"",INDIRECT("'SorP'!$A$"&amp;MATCH($J144,SorP!$B$1:$B$6230,0))))</f>
        <v>CN-HB</v>
      </c>
      <c r="U144" s="241"/>
      <c r="V144" s="275">
        <f>IF(C144="",NA(),MATCH($B144&amp;$C144,'Smelter Look-up'!$J:$J,0))</f>
        <v>55</v>
      </c>
      <c r="W144" s="276"/>
      <c r="X144" s="276">
        <f t="shared" si="22"/>
        <v>0</v>
      </c>
      <c r="Y144" s="276"/>
      <c r="Z144" s="276"/>
      <c r="AB144" s="278" t="str">
        <f t="shared" si="23"/>
        <v>GoldDaye Non-Ferrous Metals Mining Ltd.</v>
      </c>
    </row>
    <row r="145" spans="1:28" s="277" customFormat="1" ht="163.80000000000001">
      <c r="A145" s="216" t="s">
        <v>683</v>
      </c>
      <c r="B145" s="217" t="s">
        <v>1153</v>
      </c>
      <c r="C145" s="221" t="s">
        <v>550</v>
      </c>
      <c r="D145" s="283" t="s">
        <v>550</v>
      </c>
      <c r="E145" s="217" t="s">
        <v>1131</v>
      </c>
      <c r="F145" s="217" t="str">
        <f ca="1">IF(ISERROR($V145),"",OFFSET('Smelter Look-up'!$E$4,$V145-4,0))</f>
        <v>CID000264</v>
      </c>
      <c r="G145" s="217" t="str">
        <f ca="1">IF(C145=$X$4,"Enter smelter details",IF(ISERROR($V145),"",OFFSET('Smelter Look-up'!$F$4,$V145-4,0)))</f>
        <v>RMI</v>
      </c>
      <c r="H145" s="218" t="s">
        <v>15864</v>
      </c>
      <c r="I145" s="219" t="s">
        <v>1600</v>
      </c>
      <c r="J145" s="219" t="s">
        <v>1571</v>
      </c>
      <c r="K145" s="273"/>
      <c r="L145" s="273"/>
      <c r="M145" s="273"/>
      <c r="N145" s="273" t="s">
        <v>15552</v>
      </c>
      <c r="O145" s="273" t="s">
        <v>15865</v>
      </c>
      <c r="P145" s="220"/>
      <c r="Q145" s="274" t="s">
        <v>15513</v>
      </c>
      <c r="R145" s="217" t="str">
        <f ca="1">IF(ISERROR($V145),"",OFFSET('Smelter Look-up'!$C$4,$V145-4,0)&amp;"")</f>
        <v>Chugai Mining</v>
      </c>
      <c r="S145" s="225" t="str">
        <f t="shared" ca="1" si="21"/>
        <v>JP</v>
      </c>
      <c r="T145" s="225" t="str">
        <f ca="1">IF(B145="","",IF(ISERROR(MATCH($J145,SorP!$B$1:$B$6230,0)),"",INDIRECT("'SorP'!$A$"&amp;MATCH($J145,SorP!$B$1:$B$6230,0))))</f>
        <v>JP-13</v>
      </c>
      <c r="U145" s="241"/>
      <c r="V145" s="275">
        <f>IF(C145="",NA(),MATCH($B145&amp;$C145,'Smelter Look-up'!$J:$J,0))</f>
        <v>54</v>
      </c>
      <c r="W145" s="276"/>
      <c r="X145" s="276">
        <f t="shared" si="22"/>
        <v>0</v>
      </c>
      <c r="Y145" s="276"/>
      <c r="Z145" s="276"/>
      <c r="AB145" s="278" t="str">
        <f t="shared" si="23"/>
        <v>GoldChugai Mining</v>
      </c>
    </row>
    <row r="146" spans="1:28" s="277" customFormat="1" ht="176.4">
      <c r="A146" s="216" t="s">
        <v>682</v>
      </c>
      <c r="B146" s="217" t="s">
        <v>1153</v>
      </c>
      <c r="C146" s="221" t="s">
        <v>55</v>
      </c>
      <c r="D146" s="283" t="s">
        <v>55</v>
      </c>
      <c r="E146" s="217" t="s">
        <v>1130</v>
      </c>
      <c r="F146" s="217" t="str">
        <f ca="1">IF(ISERROR($V146),"",OFFSET('Smelter Look-up'!$E$4,$V146-4,0))</f>
        <v>CID000233</v>
      </c>
      <c r="G146" s="217" t="str">
        <f ca="1">IF(C146=$X$4,"Enter smelter details",IF(ISERROR($V146),"",OFFSET('Smelter Look-up'!$F$4,$V146-4,0)))</f>
        <v>RMI</v>
      </c>
      <c r="H146" s="218" t="s">
        <v>15534</v>
      </c>
      <c r="I146" s="219" t="s">
        <v>1599</v>
      </c>
      <c r="J146" s="219" t="s">
        <v>6691</v>
      </c>
      <c r="K146" s="273"/>
      <c r="L146" s="273"/>
      <c r="M146" s="273"/>
      <c r="N146" s="273" t="s">
        <v>15866</v>
      </c>
      <c r="O146" s="273" t="s">
        <v>15867</v>
      </c>
      <c r="P146" s="220"/>
      <c r="Q146" s="274" t="s">
        <v>15513</v>
      </c>
      <c r="R146" s="217" t="str">
        <f ca="1">IF(ISERROR($V146),"",OFFSET('Smelter Look-up'!$C$4,$V146-4,0)&amp;"")</f>
        <v>Chimet S.p.A.</v>
      </c>
      <c r="S146" s="225" t="str">
        <f t="shared" ca="1" si="21"/>
        <v>IT</v>
      </c>
      <c r="T146" s="225" t="str">
        <f ca="1">IF(B146="","",IF(ISERROR(MATCH($J146,SorP!$B$1:$B$6230,0)),"",INDIRECT("'SorP'!$A$"&amp;MATCH($J146,SorP!$B$1:$B$6230,0))))</f>
        <v>IT-52</v>
      </c>
      <c r="U146" s="241"/>
      <c r="V146" s="275">
        <f>IF(C146="",NA(),MATCH($B146&amp;$C146,'Smelter Look-up'!$J:$J,0))</f>
        <v>51</v>
      </c>
      <c r="W146" s="276"/>
      <c r="X146" s="276">
        <f t="shared" si="22"/>
        <v>0</v>
      </c>
      <c r="Y146" s="276"/>
      <c r="Z146" s="276"/>
      <c r="AB146" s="278" t="str">
        <f t="shared" si="23"/>
        <v>GoldChimet S.p.A.</v>
      </c>
    </row>
    <row r="147" spans="1:28" s="277" customFormat="1" ht="63">
      <c r="A147" s="216" t="s">
        <v>761</v>
      </c>
      <c r="B147" s="217" t="s">
        <v>1153</v>
      </c>
      <c r="C147" s="221" t="s">
        <v>2246</v>
      </c>
      <c r="D147" s="283" t="s">
        <v>2246</v>
      </c>
      <c r="E147" s="217" t="s">
        <v>1123</v>
      </c>
      <c r="F147" s="217" t="str">
        <f ca="1">IF(ISERROR($V147),"",OFFSET('Smelter Look-up'!$E$4,$V147-4,0))</f>
        <v>CID000197</v>
      </c>
      <c r="G147" s="217" t="str">
        <f ca="1">IF(C147=$X$4,"Enter smelter details",IF(ISERROR($V147),"",OFFSET('Smelter Look-up'!$F$4,$V147-4,0)))</f>
        <v>RMI</v>
      </c>
      <c r="H147" s="218" t="s">
        <v>15868</v>
      </c>
      <c r="I147" s="219" t="s">
        <v>1597</v>
      </c>
      <c r="J147" s="219" t="s">
        <v>13975</v>
      </c>
      <c r="K147" s="273"/>
      <c r="L147" s="273"/>
      <c r="M147" s="273"/>
      <c r="N147" s="273"/>
      <c r="O147" s="273" t="s">
        <v>15869</v>
      </c>
      <c r="P147" s="220"/>
      <c r="Q147" s="274"/>
      <c r="R147" s="217" t="str">
        <f ca="1">IF(ISERROR($V147),"",OFFSET('Smelter Look-up'!$C$4,$V147-4,0)&amp;"")</f>
        <v>Yunnan Copper Industry Co., Ltd.</v>
      </c>
      <c r="S147" s="225" t="str">
        <f t="shared" ca="1" si="21"/>
        <v>CN</v>
      </c>
      <c r="T147" s="225" t="str">
        <f ca="1">IF(B147="","",IF(ISERROR(MATCH($J147,SorP!$B$1:$B$6230,0)),"",INDIRECT("'SorP'!$A$"&amp;MATCH($J147,SorP!$B$1:$B$6230,0))))</f>
        <v>CN-YN</v>
      </c>
      <c r="U147" s="241"/>
      <c r="V147" s="275">
        <f>IF(C147="",NA(),MATCH($B147&amp;$C147,'Smelter Look-up'!$J:$J,0))</f>
        <v>281</v>
      </c>
      <c r="W147" s="276"/>
      <c r="X147" s="276">
        <f t="shared" si="22"/>
        <v>0</v>
      </c>
      <c r="Y147" s="276"/>
      <c r="Z147" s="276"/>
      <c r="AB147" s="278" t="str">
        <f t="shared" si="23"/>
        <v>GoldYunnan Copper Industry Co., Ltd.</v>
      </c>
    </row>
    <row r="148" spans="1:28" s="277" customFormat="1" ht="126">
      <c r="A148" s="216" t="s">
        <v>681</v>
      </c>
      <c r="B148" s="217" t="s">
        <v>1153</v>
      </c>
      <c r="C148" s="221" t="s">
        <v>2639</v>
      </c>
      <c r="D148" s="283" t="s">
        <v>2639</v>
      </c>
      <c r="E148" s="217" t="s">
        <v>1121</v>
      </c>
      <c r="F148" s="217" t="str">
        <f ca="1">IF(ISERROR($V148),"",OFFSET('Smelter Look-up'!$E$4,$V148-4,0))</f>
        <v>CID000189</v>
      </c>
      <c r="G148" s="217" t="str">
        <f ca="1">IF(C148=$X$4,"Enter smelter details",IF(ISERROR($V148),"",OFFSET('Smelter Look-up'!$F$4,$V148-4,0)))</f>
        <v>RMI</v>
      </c>
      <c r="H148" s="218" t="s">
        <v>15870</v>
      </c>
      <c r="I148" s="219" t="s">
        <v>1595</v>
      </c>
      <c r="J148" s="219" t="s">
        <v>1596</v>
      </c>
      <c r="K148" s="273"/>
      <c r="L148" s="273"/>
      <c r="M148" s="273"/>
      <c r="N148" s="273" t="s">
        <v>15871</v>
      </c>
      <c r="O148" s="273" t="s">
        <v>15872</v>
      </c>
      <c r="P148" s="220"/>
      <c r="Q148" s="274" t="s">
        <v>15513</v>
      </c>
      <c r="R148" s="217" t="str">
        <f ca="1">IF(ISERROR($V148),"",OFFSET('Smelter Look-up'!$C$4,$V148-4,0)&amp;"")</f>
        <v>Cendres + Metaux S.A.</v>
      </c>
      <c r="S148" s="225" t="str">
        <f t="shared" ca="1" si="21"/>
        <v>CH</v>
      </c>
      <c r="T148" s="225" t="str">
        <f ca="1">IF(B148="","",IF(ISERROR(MATCH($J148,SorP!$B$1:$B$6230,0)),"",INDIRECT("'SorP'!$A$"&amp;MATCH($J148,SorP!$B$1:$B$6230,0))))</f>
        <v>CH-BE</v>
      </c>
      <c r="U148" s="241"/>
      <c r="V148" s="275">
        <f>IF(C148="",NA(),MATCH($B148&amp;$C148,'Smelter Look-up'!$J:$J,0))</f>
        <v>46</v>
      </c>
      <c r="W148" s="276"/>
      <c r="X148" s="276">
        <f t="shared" si="22"/>
        <v>0</v>
      </c>
      <c r="Y148" s="276"/>
      <c r="Z148" s="276"/>
      <c r="AB148" s="278" t="str">
        <f t="shared" si="23"/>
        <v>GoldCendres + Metaux S.A.</v>
      </c>
    </row>
    <row r="149" spans="1:28" s="277" customFormat="1" ht="176.4">
      <c r="A149" s="216" t="s">
        <v>680</v>
      </c>
      <c r="B149" s="217" t="s">
        <v>1153</v>
      </c>
      <c r="C149" s="221" t="s">
        <v>2352</v>
      </c>
      <c r="D149" s="283" t="s">
        <v>2352</v>
      </c>
      <c r="E149" s="217" t="s">
        <v>1120</v>
      </c>
      <c r="F149" s="217" t="str">
        <f ca="1">IF(ISERROR($V149),"",OFFSET('Smelter Look-up'!$E$4,$V149-4,0))</f>
        <v>CID000185</v>
      </c>
      <c r="G149" s="217" t="str">
        <f ca="1">IF(C149=$X$4,"Enter smelter details",IF(ISERROR($V149),"",OFFSET('Smelter Look-up'!$F$4,$V149-4,0)))</f>
        <v>RMI</v>
      </c>
      <c r="H149" s="218" t="s">
        <v>15873</v>
      </c>
      <c r="I149" s="219" t="s">
        <v>1591</v>
      </c>
      <c r="J149" s="219" t="s">
        <v>1592</v>
      </c>
      <c r="K149" s="273"/>
      <c r="L149" s="273"/>
      <c r="M149" s="273"/>
      <c r="N149" s="273" t="s">
        <v>15688</v>
      </c>
      <c r="O149" s="273" t="s">
        <v>15874</v>
      </c>
      <c r="P149" s="220"/>
      <c r="Q149" s="274" t="s">
        <v>15513</v>
      </c>
      <c r="R149" s="217" t="str">
        <f ca="1">IF(ISERROR($V149),"",OFFSET('Smelter Look-up'!$C$4,$V149-4,0)&amp;"")</f>
        <v>CCR Refinery - Glencore Canada Corporation</v>
      </c>
      <c r="S149" s="225" t="str">
        <f t="shared" ca="1" si="21"/>
        <v>CA</v>
      </c>
      <c r="T149" s="225" t="str">
        <f ca="1">IF(B149="","",IF(ISERROR(MATCH($J149,SorP!$B$1:$B$6230,0)),"",INDIRECT("'SorP'!$A$"&amp;MATCH($J149,SorP!$B$1:$B$6230,0))))</f>
        <v>CA-QC</v>
      </c>
      <c r="U149" s="241"/>
      <c r="V149" s="275">
        <f>IF(C149="",NA(),MATCH($B149&amp;$C149,'Smelter Look-up'!$J:$J,0))</f>
        <v>43</v>
      </c>
      <c r="W149" s="276"/>
      <c r="X149" s="276">
        <f t="shared" si="22"/>
        <v>0</v>
      </c>
      <c r="Y149" s="276"/>
      <c r="Z149" s="276"/>
      <c r="AB149" s="278" t="str">
        <f t="shared" si="23"/>
        <v>GoldCCR Refinery - Glencore Canada Corporation</v>
      </c>
    </row>
    <row r="150" spans="1:28" s="277" customFormat="1" ht="50.4">
      <c r="A150" s="216" t="s">
        <v>679</v>
      </c>
      <c r="B150" s="217" t="s">
        <v>1153</v>
      </c>
      <c r="C150" s="221" t="s">
        <v>928</v>
      </c>
      <c r="D150" s="283" t="s">
        <v>928</v>
      </c>
      <c r="E150" s="217" t="s">
        <v>1136</v>
      </c>
      <c r="F150" s="217" t="str">
        <f ca="1">IF(ISERROR($V150),"",OFFSET('Smelter Look-up'!$E$4,$V150-4,0))</f>
        <v>CID000180</v>
      </c>
      <c r="G150" s="217" t="str">
        <f ca="1">IF(C150=$X$4,"Enter smelter details",IF(ISERROR($V150),"",OFFSET('Smelter Look-up'!$F$4,$V150-4,0)))</f>
        <v>RMI</v>
      </c>
      <c r="H150" s="218" t="s">
        <v>15875</v>
      </c>
      <c r="I150" s="219" t="s">
        <v>1589</v>
      </c>
      <c r="J150" s="219" t="s">
        <v>1590</v>
      </c>
      <c r="K150" s="273"/>
      <c r="L150" s="273"/>
      <c r="M150" s="273"/>
      <c r="N150" s="273"/>
      <c r="O150" s="273" t="s">
        <v>15876</v>
      </c>
      <c r="P150" s="220"/>
      <c r="Q150" s="274"/>
      <c r="R150" s="217" t="str">
        <f ca="1">IF(ISERROR($V150),"",OFFSET('Smelter Look-up'!$C$4,$V150-4,0)&amp;"")</f>
        <v>Caridad</v>
      </c>
      <c r="S150" s="225" t="str">
        <f t="shared" ca="1" si="21"/>
        <v>MX</v>
      </c>
      <c r="T150" s="225" t="str">
        <f ca="1">IF(B150="","",IF(ISERROR(MATCH($J150,SorP!$B$1:$B$6230,0)),"",INDIRECT("'SorP'!$A$"&amp;MATCH($J150,SorP!$B$1:$B$6230,0))))</f>
        <v>MX-SON</v>
      </c>
      <c r="U150" s="241"/>
      <c r="V150" s="275">
        <f>IF(C150="",NA(),MATCH($B150&amp;$C150,'Smelter Look-up'!$J:$J,0))</f>
        <v>40</v>
      </c>
      <c r="W150" s="276"/>
      <c r="X150" s="276">
        <f t="shared" si="22"/>
        <v>0</v>
      </c>
      <c r="Y150" s="276"/>
      <c r="Z150" s="276"/>
      <c r="AB150" s="278" t="str">
        <f t="shared" si="23"/>
        <v>GoldCaridad</v>
      </c>
    </row>
    <row r="151" spans="1:28" s="277" customFormat="1" ht="189">
      <c r="A151" s="216" t="s">
        <v>678</v>
      </c>
      <c r="B151" s="217" t="s">
        <v>1153</v>
      </c>
      <c r="C151" s="221" t="s">
        <v>677</v>
      </c>
      <c r="D151" s="283" t="s">
        <v>677</v>
      </c>
      <c r="E151" s="217" t="s">
        <v>1124</v>
      </c>
      <c r="F151" s="217" t="str">
        <f ca="1">IF(ISERROR($V151),"",OFFSET('Smelter Look-up'!$E$4,$V151-4,0))</f>
        <v>CID000176</v>
      </c>
      <c r="G151" s="217" t="str">
        <f ca="1">IF(C151=$X$4,"Enter smelter details",IF(ISERROR($V151),"",OFFSET('Smelter Look-up'!$F$4,$V151-4,0)))</f>
        <v>RMI</v>
      </c>
      <c r="H151" s="218" t="s">
        <v>15838</v>
      </c>
      <c r="I151" s="219" t="s">
        <v>1572</v>
      </c>
      <c r="J151" s="219" t="s">
        <v>1573</v>
      </c>
      <c r="K151" s="273"/>
      <c r="L151" s="273"/>
      <c r="M151" s="273"/>
      <c r="N151" s="273" t="s">
        <v>15877</v>
      </c>
      <c r="O151" s="273" t="s">
        <v>15878</v>
      </c>
      <c r="P151" s="220"/>
      <c r="Q151" s="274" t="s">
        <v>15513</v>
      </c>
      <c r="R151" s="217" t="str">
        <f ca="1">IF(ISERROR($V151),"",OFFSET('Smelter Look-up'!$C$4,$V151-4,0)&amp;"")</f>
        <v>C. Hafner GmbH + Co. KG</v>
      </c>
      <c r="S151" s="225" t="str">
        <f t="shared" ca="1" si="21"/>
        <v>DE</v>
      </c>
      <c r="T151" s="225" t="str">
        <f ca="1">IF(B151="","",IF(ISERROR(MATCH($J151,SorP!$B$1:$B$6230,0)),"",INDIRECT("'SorP'!$A$"&amp;MATCH($J151,SorP!$B$1:$B$6230,0))))</f>
        <v>DE-BW</v>
      </c>
      <c r="U151" s="241"/>
      <c r="V151" s="275">
        <f>IF(C151="",NA(),MATCH($B151&amp;$C151,'Smelter Look-up'!$J:$J,0))</f>
        <v>38</v>
      </c>
      <c r="W151" s="276"/>
      <c r="X151" s="276">
        <f t="shared" si="22"/>
        <v>0</v>
      </c>
      <c r="Y151" s="276"/>
      <c r="Z151" s="276"/>
      <c r="AB151" s="278" t="str">
        <f t="shared" si="23"/>
        <v>GoldC. Hafner GmbH + Co. KG</v>
      </c>
    </row>
    <row r="152" spans="1:28" s="277" customFormat="1" ht="189">
      <c r="A152" s="216" t="s">
        <v>676</v>
      </c>
      <c r="B152" s="217" t="s">
        <v>1153</v>
      </c>
      <c r="C152" s="221" t="s">
        <v>1249</v>
      </c>
      <c r="D152" s="283" t="s">
        <v>1249</v>
      </c>
      <c r="E152" s="217" t="s">
        <v>910</v>
      </c>
      <c r="F152" s="217" t="str">
        <f ca="1">IF(ISERROR($V152),"",OFFSET('Smelter Look-up'!$E$4,$V152-4,0))</f>
        <v>CID000157</v>
      </c>
      <c r="G152" s="217" t="str">
        <f ca="1">IF(C152=$X$4,"Enter smelter details",IF(ISERROR($V152),"",OFFSET('Smelter Look-up'!$F$4,$V152-4,0)))</f>
        <v>RMI</v>
      </c>
      <c r="H152" s="218" t="s">
        <v>15879</v>
      </c>
      <c r="I152" s="219" t="s">
        <v>1588</v>
      </c>
      <c r="J152" s="219" t="s">
        <v>10600</v>
      </c>
      <c r="K152" s="273"/>
      <c r="L152" s="273"/>
      <c r="M152" s="273"/>
      <c r="N152" s="273" t="s">
        <v>15688</v>
      </c>
      <c r="O152" s="273" t="s">
        <v>15880</v>
      </c>
      <c r="P152" s="220"/>
      <c r="Q152" s="274" t="s">
        <v>15513</v>
      </c>
      <c r="R152" s="217" t="str">
        <f ca="1">IF(ISERROR($V152),"",OFFSET('Smelter Look-up'!$C$4,$V152-4,0)&amp;"")</f>
        <v>Boliden AB</v>
      </c>
      <c r="S152" s="225" t="str">
        <f t="shared" ca="1" si="21"/>
        <v>SE</v>
      </c>
      <c r="T152" s="225" t="str">
        <f ca="1">IF(B152="","",IF(ISERROR(MATCH($J152,SorP!$B$1:$B$6230,0)),"",INDIRECT("'SorP'!$A$"&amp;MATCH($J152,SorP!$B$1:$B$6230,0))))</f>
        <v>SE-AC</v>
      </c>
      <c r="U152" s="241"/>
      <c r="V152" s="275">
        <f>IF(C152="",NA(),MATCH($B152&amp;$C152,'Smelter Look-up'!$J:$J,0))</f>
        <v>37</v>
      </c>
      <c r="W152" s="276"/>
      <c r="X152" s="276">
        <f t="shared" si="22"/>
        <v>0</v>
      </c>
      <c r="Y152" s="276"/>
      <c r="Z152" s="276"/>
      <c r="AB152" s="278" t="str">
        <f t="shared" si="23"/>
        <v>GoldBoliden AB</v>
      </c>
    </row>
    <row r="153" spans="1:28" s="277" customFormat="1" ht="201.6">
      <c r="A153" s="216" t="s">
        <v>675</v>
      </c>
      <c r="B153" s="217" t="s">
        <v>1153</v>
      </c>
      <c r="C153" s="221" t="s">
        <v>927</v>
      </c>
      <c r="D153" s="283" t="s">
        <v>927</v>
      </c>
      <c r="E153" s="217" t="s">
        <v>904</v>
      </c>
      <c r="F153" s="217" t="str">
        <f ca="1">IF(ISERROR($V153),"",OFFSET('Smelter Look-up'!$E$4,$V153-4,0))</f>
        <v>CID000128</v>
      </c>
      <c r="G153" s="217" t="str">
        <f ca="1">IF(C153=$X$4,"Enter smelter details",IF(ISERROR($V153),"",OFFSET('Smelter Look-up'!$F$4,$V153-4,0)))</f>
        <v>RMI</v>
      </c>
      <c r="H153" s="218" t="s">
        <v>15881</v>
      </c>
      <c r="I153" s="219" t="s">
        <v>2310</v>
      </c>
      <c r="J153" s="219" t="s">
        <v>9770</v>
      </c>
      <c r="K153" s="273"/>
      <c r="L153" s="273"/>
      <c r="M153" s="273"/>
      <c r="N153" s="273" t="s">
        <v>15882</v>
      </c>
      <c r="O153" s="273" t="s">
        <v>15883</v>
      </c>
      <c r="P153" s="220"/>
      <c r="Q153" s="274" t="s">
        <v>15513</v>
      </c>
      <c r="R153" s="217" t="str">
        <f ca="1">IF(ISERROR($V153),"",OFFSET('Smelter Look-up'!$C$4,$V153-4,0)&amp;"")</f>
        <v>Bangko Sentral ng Pilipinas (Central Bank of the Philippines)</v>
      </c>
      <c r="S153" s="225" t="str">
        <f t="shared" ca="1" si="21"/>
        <v>PH</v>
      </c>
      <c r="T153" s="225" t="str">
        <f ca="1">IF(B153="","",IF(ISERROR(MATCH($J153,SorP!$B$1:$B$6230,0)),"",INDIRECT("'SorP'!$A$"&amp;MATCH($J153,SorP!$B$1:$B$6230,0))))</f>
        <v>PH-RIZ</v>
      </c>
      <c r="U153" s="241"/>
      <c r="V153" s="275">
        <f>IF(C153="",NA(),MATCH($B153&amp;$C153,'Smelter Look-up'!$J:$J,0))</f>
        <v>36</v>
      </c>
      <c r="W153" s="276"/>
      <c r="X153" s="276">
        <f t="shared" si="22"/>
        <v>0</v>
      </c>
      <c r="Y153" s="276"/>
      <c r="Z153" s="276"/>
      <c r="AB153" s="278" t="str">
        <f t="shared" si="23"/>
        <v>GoldBangko Sentral ng Pilipinas (Central Bank of the Philippines)</v>
      </c>
    </row>
    <row r="154" spans="1:28" s="277" customFormat="1" ht="226.8">
      <c r="A154" s="216" t="s">
        <v>674</v>
      </c>
      <c r="B154" s="217" t="s">
        <v>1153</v>
      </c>
      <c r="C154" s="221" t="s">
        <v>1247</v>
      </c>
      <c r="D154" s="283" t="s">
        <v>1247</v>
      </c>
      <c r="E154" s="217" t="s">
        <v>1124</v>
      </c>
      <c r="F154" s="217" t="str">
        <f ca="1">IF(ISERROR($V154),"",OFFSET('Smelter Look-up'!$E$4,$V154-4,0))</f>
        <v>CID000113</v>
      </c>
      <c r="G154" s="217" t="str">
        <f ca="1">IF(C154=$X$4,"Enter smelter details",IF(ISERROR($V154),"",OFFSET('Smelter Look-up'!$F$4,$V154-4,0)))</f>
        <v>RMI</v>
      </c>
      <c r="H154" s="218" t="s">
        <v>15884</v>
      </c>
      <c r="I154" s="219" t="s">
        <v>1586</v>
      </c>
      <c r="J154" s="219" t="s">
        <v>1586</v>
      </c>
      <c r="K154" s="273"/>
      <c r="L154" s="273"/>
      <c r="M154" s="273"/>
      <c r="N154" s="273" t="s">
        <v>15688</v>
      </c>
      <c r="O154" s="273" t="s">
        <v>15885</v>
      </c>
      <c r="P154" s="220"/>
      <c r="Q154" s="274" t="s">
        <v>15513</v>
      </c>
      <c r="R154" s="217" t="str">
        <f ca="1">IF(ISERROR($V154),"",OFFSET('Smelter Look-up'!$C$4,$V154-4,0)&amp;"")</f>
        <v>Aurubis AG</v>
      </c>
      <c r="S154" s="225" t="str">
        <f t="shared" ca="1" si="21"/>
        <v>DE</v>
      </c>
      <c r="T154" s="225" t="str">
        <f ca="1">IF(B154="","",IF(ISERROR(MATCH($J154,SorP!$B$1:$B$6230,0)),"",INDIRECT("'SorP'!$A$"&amp;MATCH($J154,SorP!$B$1:$B$6230,0))))</f>
        <v>DE-HH</v>
      </c>
      <c r="U154" s="241"/>
      <c r="V154" s="275">
        <f>IF(C154="",NA(),MATCH($B154&amp;$C154,'Smelter Look-up'!$J:$J,0))</f>
        <v>32</v>
      </c>
      <c r="W154" s="276"/>
      <c r="X154" s="276">
        <f t="shared" si="22"/>
        <v>0</v>
      </c>
      <c r="Y154" s="276"/>
      <c r="Z154" s="276"/>
      <c r="AB154" s="278" t="str">
        <f t="shared" si="23"/>
        <v>GoldAurubis AG</v>
      </c>
    </row>
    <row r="155" spans="1:28" s="277" customFormat="1" ht="100.8">
      <c r="A155" s="216" t="s">
        <v>673</v>
      </c>
      <c r="B155" s="217" t="s">
        <v>1153</v>
      </c>
      <c r="C155" s="221" t="s">
        <v>641</v>
      </c>
      <c r="D155" s="283" t="s">
        <v>641</v>
      </c>
      <c r="E155" s="217" t="s">
        <v>912</v>
      </c>
      <c r="F155" s="217" t="str">
        <f ca="1">IF(ISERROR($V155),"",OFFSET('Smelter Look-up'!$E$4,$V155-4,0))</f>
        <v>CID000103</v>
      </c>
      <c r="G155" s="217" t="str">
        <f ca="1">IF(C155=$X$4,"Enter smelter details",IF(ISERROR($V155),"",OFFSET('Smelter Look-up'!$F$4,$V155-4,0)))</f>
        <v>RMI</v>
      </c>
      <c r="H155" s="218" t="s">
        <v>15886</v>
      </c>
      <c r="I155" s="219" t="s">
        <v>1585</v>
      </c>
      <c r="J155" s="219" t="s">
        <v>11593</v>
      </c>
      <c r="K155" s="273"/>
      <c r="L155" s="273"/>
      <c r="M155" s="273"/>
      <c r="N155" s="273"/>
      <c r="O155" s="273" t="s">
        <v>15887</v>
      </c>
      <c r="P155" s="220"/>
      <c r="Q155" s="274"/>
      <c r="R155" s="217" t="str">
        <f ca="1">IF(ISERROR($V155),"",OFFSET('Smelter Look-up'!$C$4,$V155-4,0)&amp;"")</f>
        <v>Atasay Kuyumculuk Sanayi Ve Ticaret A.S.</v>
      </c>
      <c r="S155" s="225" t="str">
        <f t="shared" ca="1" si="21"/>
        <v>TR</v>
      </c>
      <c r="T155" s="225" t="str">
        <f ca="1">IF(B155="","",IF(ISERROR(MATCH($J155,SorP!$B$1:$B$6230,0)),"",INDIRECT("'SorP'!$A$"&amp;MATCH($J155,SorP!$B$1:$B$6230,0))))</f>
        <v>TR-34</v>
      </c>
      <c r="U155" s="241"/>
      <c r="V155" s="275">
        <f>IF(C155="",NA(),MATCH($B155&amp;$C155,'Smelter Look-up'!$J:$J,0))</f>
        <v>29</v>
      </c>
      <c r="W155" s="276"/>
      <c r="X155" s="276">
        <f t="shared" si="22"/>
        <v>0</v>
      </c>
      <c r="Y155" s="276"/>
      <c r="Z155" s="276"/>
      <c r="AB155" s="278" t="str">
        <f t="shared" si="23"/>
        <v>GoldAtasay Kuyumculuk Sanayi Ve Ticaret A.S.</v>
      </c>
    </row>
    <row r="156" spans="1:28" s="277" customFormat="1" ht="264.60000000000002">
      <c r="A156" s="216" t="s">
        <v>672</v>
      </c>
      <c r="B156" s="217" t="s">
        <v>1153</v>
      </c>
      <c r="C156" s="221" t="s">
        <v>2245</v>
      </c>
      <c r="D156" s="283" t="s">
        <v>2245</v>
      </c>
      <c r="E156" s="217" t="s">
        <v>1131</v>
      </c>
      <c r="F156" s="217" t="str">
        <f ca="1">IF(ISERROR($V156),"",OFFSET('Smelter Look-up'!$E$4,$V156-4,0))</f>
        <v>CID000090</v>
      </c>
      <c r="G156" s="217" t="str">
        <f ca="1">IF(C156=$X$4,"Enter smelter details",IF(ISERROR($V156),"",OFFSET('Smelter Look-up'!$F$4,$V156-4,0)))</f>
        <v>RMI</v>
      </c>
      <c r="H156" s="218" t="s">
        <v>15888</v>
      </c>
      <c r="I156" s="219" t="s">
        <v>1583</v>
      </c>
      <c r="J156" s="219" t="s">
        <v>1584</v>
      </c>
      <c r="K156" s="273"/>
      <c r="L156" s="273"/>
      <c r="M156" s="273"/>
      <c r="N156" s="273" t="s">
        <v>15889</v>
      </c>
      <c r="O156" s="273" t="s">
        <v>15890</v>
      </c>
      <c r="P156" s="220"/>
      <c r="Q156" s="274" t="s">
        <v>15513</v>
      </c>
      <c r="R156" s="217" t="str">
        <f ca="1">IF(ISERROR($V156),"",OFFSET('Smelter Look-up'!$C$4,$V156-4,0)&amp;"")</f>
        <v>Asaka Riken Co., Ltd.</v>
      </c>
      <c r="S156" s="225" t="str">
        <f t="shared" ca="1" si="21"/>
        <v>JP</v>
      </c>
      <c r="T156" s="225" t="str">
        <f ca="1">IF(B156="","",IF(ISERROR(MATCH($J156,SorP!$B$1:$B$6230,0)),"",INDIRECT("'SorP'!$A$"&amp;MATCH($J156,SorP!$B$1:$B$6230,0))))</f>
        <v>JP-07</v>
      </c>
      <c r="U156" s="241"/>
      <c r="V156" s="275">
        <f>IF(C156="",NA(),MATCH($B156&amp;$C156,'Smelter Look-up'!$J:$J,0))</f>
        <v>27</v>
      </c>
      <c r="W156" s="276"/>
      <c r="X156" s="276">
        <f t="shared" si="22"/>
        <v>0</v>
      </c>
      <c r="Y156" s="276"/>
      <c r="Z156" s="276"/>
      <c r="AB156" s="278" t="str">
        <f t="shared" si="23"/>
        <v>GoldAsaka Riken Co., Ltd.</v>
      </c>
    </row>
    <row r="157" spans="1:28" s="277" customFormat="1" ht="189">
      <c r="A157" s="216" t="s">
        <v>671</v>
      </c>
      <c r="B157" s="217" t="s">
        <v>1153</v>
      </c>
      <c r="C157" s="221" t="s">
        <v>2410</v>
      </c>
      <c r="D157" s="283" t="s">
        <v>2410</v>
      </c>
      <c r="E157" s="217" t="s">
        <v>1131</v>
      </c>
      <c r="F157" s="217" t="str">
        <f ca="1">IF(ISERROR($V157),"",OFFSET('Smelter Look-up'!$E$4,$V157-4,0))</f>
        <v>CID000082</v>
      </c>
      <c r="G157" s="217" t="str">
        <f ca="1">IF(C157=$X$4,"Enter smelter details",IF(ISERROR($V157),"",OFFSET('Smelter Look-up'!$F$4,$V157-4,0)))</f>
        <v>RMI</v>
      </c>
      <c r="H157" s="218" t="s">
        <v>15891</v>
      </c>
      <c r="I157" s="219" t="s">
        <v>1580</v>
      </c>
      <c r="J157" s="219" t="s">
        <v>1581</v>
      </c>
      <c r="K157" s="273"/>
      <c r="L157" s="273"/>
      <c r="M157" s="273"/>
      <c r="N157" s="273" t="s">
        <v>15892</v>
      </c>
      <c r="O157" s="273" t="s">
        <v>15893</v>
      </c>
      <c r="P157" s="220"/>
      <c r="Q157" s="274" t="s">
        <v>15513</v>
      </c>
      <c r="R157" s="217" t="str">
        <f ca="1">IF(ISERROR($V157),"",OFFSET('Smelter Look-up'!$C$4,$V157-4,0)&amp;"")</f>
        <v>Asahi Pretec Corp.</v>
      </c>
      <c r="S157" s="225" t="str">
        <f t="shared" ca="1" si="21"/>
        <v>JP</v>
      </c>
      <c r="T157" s="225" t="str">
        <f ca="1">IF(B157="","",IF(ISERROR(MATCH($J157,SorP!$B$1:$B$6230,0)),"",INDIRECT("'SorP'!$A$"&amp;MATCH($J157,SorP!$B$1:$B$6230,0))))</f>
        <v>JP-28</v>
      </c>
      <c r="U157" s="241"/>
      <c r="V157" s="275">
        <f>IF(C157="",NA(),MATCH($B157&amp;$C157,'Smelter Look-up'!$J:$J,0))</f>
        <v>24</v>
      </c>
      <c r="W157" s="276"/>
      <c r="X157" s="276">
        <f t="shared" si="22"/>
        <v>0</v>
      </c>
      <c r="Y157" s="276"/>
      <c r="Z157" s="276"/>
      <c r="AB157" s="278" t="str">
        <f t="shared" si="23"/>
        <v>GoldAsahi Pretec Corp.</v>
      </c>
    </row>
    <row r="158" spans="1:28" s="277" customFormat="1" ht="252">
      <c r="A158" s="216" t="s">
        <v>670</v>
      </c>
      <c r="B158" s="217" t="s">
        <v>1153</v>
      </c>
      <c r="C158" s="221" t="s">
        <v>2409</v>
      </c>
      <c r="D158" s="283" t="s">
        <v>2409</v>
      </c>
      <c r="E158" s="217" t="s">
        <v>1121</v>
      </c>
      <c r="F158" s="217" t="str">
        <f ca="1">IF(ISERROR($V158),"",OFFSET('Smelter Look-up'!$E$4,$V158-4,0))</f>
        <v>CID000077</v>
      </c>
      <c r="G158" s="217" t="str">
        <f ca="1">IF(C158=$X$4,"Enter smelter details",IF(ISERROR($V158),"",OFFSET('Smelter Look-up'!$F$4,$V158-4,0)))</f>
        <v>RMI</v>
      </c>
      <c r="H158" s="218" t="s">
        <v>15894</v>
      </c>
      <c r="I158" s="219" t="s">
        <v>1578</v>
      </c>
      <c r="J158" s="219" t="s">
        <v>1579</v>
      </c>
      <c r="K158" s="273"/>
      <c r="L158" s="273"/>
      <c r="M158" s="273"/>
      <c r="N158" s="273" t="s">
        <v>15895</v>
      </c>
      <c r="O158" s="273" t="s">
        <v>15896</v>
      </c>
      <c r="P158" s="220"/>
      <c r="Q158" s="274" t="s">
        <v>15513</v>
      </c>
      <c r="R158" s="217" t="str">
        <f ca="1">IF(ISERROR($V158),"",OFFSET('Smelter Look-up'!$C$4,$V158-4,0)&amp;"")</f>
        <v>Argor-Heraeus S.A.</v>
      </c>
      <c r="S158" s="225" t="str">
        <f t="shared" ca="1" si="21"/>
        <v>CH</v>
      </c>
      <c r="T158" s="225" t="str">
        <f ca="1">IF(B158="","",IF(ISERROR(MATCH($J158,SorP!$B$1:$B$6230,0)),"",INDIRECT("'SorP'!$A$"&amp;MATCH($J158,SorP!$B$1:$B$6230,0))))</f>
        <v>CH-TI</v>
      </c>
      <c r="U158" s="241"/>
      <c r="V158" s="275">
        <f>IF(C158="",NA(),MATCH($B158&amp;$C158,'Smelter Look-up'!$J:$J,0))</f>
        <v>23</v>
      </c>
      <c r="W158" s="276"/>
      <c r="X158" s="276">
        <f t="shared" si="22"/>
        <v>0</v>
      </c>
      <c r="Y158" s="276"/>
      <c r="Z158" s="276"/>
      <c r="AB158" s="278" t="str">
        <f t="shared" si="23"/>
        <v>GoldArgor-Heraeus S.A.</v>
      </c>
    </row>
    <row r="159" spans="1:28" s="277" customFormat="1" ht="151.19999999999999">
      <c r="A159" s="216" t="s">
        <v>669</v>
      </c>
      <c r="B159" s="217" t="s">
        <v>1153</v>
      </c>
      <c r="C159" s="221" t="s">
        <v>12755</v>
      </c>
      <c r="D159" s="283" t="s">
        <v>12755</v>
      </c>
      <c r="E159" s="217" t="s">
        <v>1119</v>
      </c>
      <c r="F159" s="217" t="str">
        <f ca="1">IF(ISERROR($V159),"",OFFSET('Smelter Look-up'!$E$4,$V159-4,0))</f>
        <v>CID000058</v>
      </c>
      <c r="G159" s="217" t="str">
        <f ca="1">IF(C159=$X$4,"Enter smelter details",IF(ISERROR($V159),"",OFFSET('Smelter Look-up'!$F$4,$V159-4,0)))</f>
        <v>RMI</v>
      </c>
      <c r="H159" s="218" t="s">
        <v>15897</v>
      </c>
      <c r="I159" s="219" t="s">
        <v>1576</v>
      </c>
      <c r="J159" s="219" t="s">
        <v>1577</v>
      </c>
      <c r="K159" s="273"/>
      <c r="L159" s="273"/>
      <c r="M159" s="273"/>
      <c r="N159" s="273" t="s">
        <v>15898</v>
      </c>
      <c r="O159" s="273" t="s">
        <v>15899</v>
      </c>
      <c r="P159" s="220"/>
      <c r="Q159" s="274" t="s">
        <v>15513</v>
      </c>
      <c r="R159" s="217" t="str">
        <f ca="1">IF(ISERROR($V159),"",OFFSET('Smelter Look-up'!$C$4,$V159-4,0)&amp;"")</f>
        <v>AngloGold Ashanti Corrego do Sitio Mineracao</v>
      </c>
      <c r="S159" s="225" t="str">
        <f t="shared" ca="1" si="21"/>
        <v>BR</v>
      </c>
      <c r="T159" s="225" t="str">
        <f ca="1">IF(B159="","",IF(ISERROR(MATCH($J159,SorP!$B$1:$B$6230,0)),"",INDIRECT("'SorP'!$A$"&amp;MATCH($J159,SorP!$B$1:$B$6230,0))))</f>
        <v>BR-MG</v>
      </c>
      <c r="U159" s="241"/>
      <c r="V159" s="275">
        <f>IF(C159="",NA(),MATCH($B159&amp;$C159,'Smelter Look-up'!$J:$J,0))</f>
        <v>18</v>
      </c>
      <c r="W159" s="276"/>
      <c r="X159" s="276">
        <f t="shared" si="22"/>
        <v>0</v>
      </c>
      <c r="Y159" s="276"/>
      <c r="Z159" s="276"/>
      <c r="AB159" s="278" t="str">
        <f t="shared" si="23"/>
        <v>GoldAngloGold Ashanti Corrego do Sitio Mineracao</v>
      </c>
    </row>
    <row r="160" spans="1:28" s="277" customFormat="1" ht="277.2">
      <c r="A160" s="216" t="s">
        <v>668</v>
      </c>
      <c r="B160" s="217" t="s">
        <v>1153</v>
      </c>
      <c r="C160" s="221" t="s">
        <v>640</v>
      </c>
      <c r="D160" s="283" t="s">
        <v>640</v>
      </c>
      <c r="E160" s="217" t="s">
        <v>914</v>
      </c>
      <c r="F160" s="217" t="str">
        <f ca="1">IF(ISERROR($V160),"",OFFSET('Smelter Look-up'!$E$4,$V160-4,0))</f>
        <v>CID000041</v>
      </c>
      <c r="G160" s="217" t="str">
        <f ca="1">IF(C160=$X$4,"Enter smelter details",IF(ISERROR($V160),"",OFFSET('Smelter Look-up'!$F$4,$V160-4,0)))</f>
        <v>RMI</v>
      </c>
      <c r="H160" s="218" t="s">
        <v>15900</v>
      </c>
      <c r="I160" s="219" t="s">
        <v>1574</v>
      </c>
      <c r="J160" s="219" t="s">
        <v>12339</v>
      </c>
      <c r="K160" s="273"/>
      <c r="L160" s="273"/>
      <c r="M160" s="273"/>
      <c r="N160" s="273" t="s">
        <v>15688</v>
      </c>
      <c r="O160" s="273" t="s">
        <v>15901</v>
      </c>
      <c r="P160" s="220"/>
      <c r="Q160" s="274" t="s">
        <v>15513</v>
      </c>
      <c r="R160" s="217" t="str">
        <f ca="1">IF(ISERROR($V160),"",OFFSET('Smelter Look-up'!$C$4,$V160-4,0)&amp;"")</f>
        <v>Almalyk Mining and Metallurgical Complex (AMMC)</v>
      </c>
      <c r="S160" s="225" t="str">
        <f t="shared" ca="1" si="21"/>
        <v>UZ</v>
      </c>
      <c r="T160" s="225" t="str">
        <f ca="1">IF(B160="","",IF(ISERROR(MATCH($J160,SorP!$B$1:$B$6230,0)),"",INDIRECT("'SorP'!$A$"&amp;MATCH($J160,SorP!$B$1:$B$6230,0))))</f>
        <v>UZ-TK</v>
      </c>
      <c r="U160" s="241"/>
      <c r="V160" s="275">
        <f>IF(C160="",NA(),MATCH($B160&amp;$C160,'Smelter Look-up'!$J:$J,0))</f>
        <v>15</v>
      </c>
      <c r="W160" s="276"/>
      <c r="X160" s="276">
        <f t="shared" si="22"/>
        <v>0</v>
      </c>
      <c r="Y160" s="276"/>
      <c r="Z160" s="276"/>
      <c r="AB160" s="278" t="str">
        <f t="shared" si="23"/>
        <v>GoldAlmalyk Mining and Metallurgical Complex (AMMC)</v>
      </c>
    </row>
    <row r="161" spans="1:28" s="277" customFormat="1" ht="176.4">
      <c r="A161" s="216" t="s">
        <v>667</v>
      </c>
      <c r="B161" s="217" t="s">
        <v>1153</v>
      </c>
      <c r="C161" s="221" t="s">
        <v>54</v>
      </c>
      <c r="D161" s="283" t="s">
        <v>54</v>
      </c>
      <c r="E161" s="217" t="s">
        <v>1124</v>
      </c>
      <c r="F161" s="217" t="str">
        <f ca="1">IF(ISERROR($V161),"",OFFSET('Smelter Look-up'!$E$4,$V161-4,0))</f>
        <v>CID000035</v>
      </c>
      <c r="G161" s="217" t="str">
        <f ca="1">IF(C161=$X$4,"Enter smelter details",IF(ISERROR($V161),"",OFFSET('Smelter Look-up'!$F$4,$V161-4,0)))</f>
        <v>RMI</v>
      </c>
      <c r="H161" s="218" t="s">
        <v>15838</v>
      </c>
      <c r="I161" s="219" t="s">
        <v>1572</v>
      </c>
      <c r="J161" s="219" t="s">
        <v>1573</v>
      </c>
      <c r="K161" s="273"/>
      <c r="L161" s="273"/>
      <c r="M161" s="273"/>
      <c r="N161" s="273" t="s">
        <v>15902</v>
      </c>
      <c r="O161" s="273" t="s">
        <v>15903</v>
      </c>
      <c r="P161" s="220"/>
      <c r="Q161" s="274" t="s">
        <v>15513</v>
      </c>
      <c r="R161" s="217" t="str">
        <f ca="1">IF(ISERROR($V161),"",OFFSET('Smelter Look-up'!$C$4,$V161-4,0)&amp;"")</f>
        <v>Allgemeine Gold-und Silberscheideanstalt A.G.</v>
      </c>
      <c r="S161" s="225" t="str">
        <f t="shared" ca="1" si="21"/>
        <v>DE</v>
      </c>
      <c r="T161" s="225" t="str">
        <f ca="1">IF(B161="","",IF(ISERROR(MATCH($J161,SorP!$B$1:$B$6230,0)),"",INDIRECT("'SorP'!$A$"&amp;MATCH($J161,SorP!$B$1:$B$6230,0))))</f>
        <v>DE-BW</v>
      </c>
      <c r="U161" s="241"/>
      <c r="V161" s="275">
        <f>IF(C161="",NA(),MATCH($B161&amp;$C161,'Smelter Look-up'!$J:$J,0))</f>
        <v>14</v>
      </c>
      <c r="W161" s="276"/>
      <c r="X161" s="276">
        <f t="shared" si="22"/>
        <v>0</v>
      </c>
      <c r="Y161" s="276"/>
      <c r="Z161" s="276"/>
      <c r="AB161" s="278" t="str">
        <f t="shared" si="23"/>
        <v>GoldAllgemeine Gold-und Silberscheideanstalt A.G.</v>
      </c>
    </row>
    <row r="162" spans="1:28" s="277" customFormat="1" ht="189">
      <c r="A162" s="216" t="s">
        <v>666</v>
      </c>
      <c r="B162" s="217" t="s">
        <v>1153</v>
      </c>
      <c r="C162" s="221" t="s">
        <v>2244</v>
      </c>
      <c r="D162" s="283" t="s">
        <v>2244</v>
      </c>
      <c r="E162" s="217" t="s">
        <v>1131</v>
      </c>
      <c r="F162" s="217" t="str">
        <f ca="1">IF(ISERROR($V162),"",OFFSET('Smelter Look-up'!$E$4,$V162-4,0))</f>
        <v>CID000019</v>
      </c>
      <c r="G162" s="217" t="str">
        <f ca="1">IF(C162=$X$4,"Enter smelter details",IF(ISERROR($V162),"",OFFSET('Smelter Look-up'!$F$4,$V162-4,0)))</f>
        <v>RMI</v>
      </c>
      <c r="H162" s="218" t="s">
        <v>15904</v>
      </c>
      <c r="I162" s="219" t="s">
        <v>1570</v>
      </c>
      <c r="J162" s="219" t="s">
        <v>1571</v>
      </c>
      <c r="K162" s="273"/>
      <c r="L162" s="273"/>
      <c r="M162" s="273"/>
      <c r="N162" s="273" t="s">
        <v>15905</v>
      </c>
      <c r="O162" s="273" t="s">
        <v>15906</v>
      </c>
      <c r="P162" s="220"/>
      <c r="Q162" s="274" t="s">
        <v>15513</v>
      </c>
      <c r="R162" s="217" t="str">
        <f ca="1">IF(ISERROR($V162),"",OFFSET('Smelter Look-up'!$C$4,$V162-4,0)&amp;"")</f>
        <v>Aida Chemical Industries Co., Ltd.</v>
      </c>
      <c r="S162" s="225" t="str">
        <f t="shared" ca="1" si="21"/>
        <v>JP</v>
      </c>
      <c r="T162" s="225" t="str">
        <f ca="1">IF(B162="","",IF(ISERROR(MATCH($J162,SorP!$B$1:$B$6230,0)),"",INDIRECT("'SorP'!$A$"&amp;MATCH($J162,SorP!$B$1:$B$6230,0))))</f>
        <v>JP-13</v>
      </c>
      <c r="U162" s="241"/>
      <c r="V162" s="275">
        <f>IF(C162="",NA(),MATCH($B162&amp;$C162,'Smelter Look-up'!$J:$J,0))</f>
        <v>11</v>
      </c>
      <c r="W162" s="276"/>
      <c r="X162" s="276">
        <f t="shared" si="22"/>
        <v>0</v>
      </c>
      <c r="Y162" s="276"/>
      <c r="Z162" s="276"/>
      <c r="AB162" s="278" t="str">
        <f t="shared" si="23"/>
        <v>GoldAida Chemical Industries Co., Ltd.</v>
      </c>
    </row>
    <row r="163" spans="1:28" s="277" customFormat="1" ht="138.6">
      <c r="A163" s="216" t="s">
        <v>1408</v>
      </c>
      <c r="B163" s="217" t="s">
        <v>1153</v>
      </c>
      <c r="C163" s="221" t="s">
        <v>1407</v>
      </c>
      <c r="D163" s="283" t="s">
        <v>1407</v>
      </c>
      <c r="E163" s="217" t="s">
        <v>2576</v>
      </c>
      <c r="F163" s="217" t="str">
        <f ca="1">IF(ISERROR($V163),"",OFFSET('Smelter Look-up'!$E$4,$V163-4,0))</f>
        <v>CID000015</v>
      </c>
      <c r="G163" s="217" t="str">
        <f ca="1">IF(C163=$X$4,"Enter smelter details",IF(ISERROR($V163),"",OFFSET('Smelter Look-up'!$F$4,$V163-4,0)))</f>
        <v>RMI</v>
      </c>
      <c r="H163" s="218" t="s">
        <v>15628</v>
      </c>
      <c r="I163" s="219" t="s">
        <v>1568</v>
      </c>
      <c r="J163" s="219" t="s">
        <v>1569</v>
      </c>
      <c r="K163" s="273"/>
      <c r="L163" s="273"/>
      <c r="M163" s="273"/>
      <c r="N163" s="273" t="s">
        <v>15907</v>
      </c>
      <c r="O163" s="273" t="s">
        <v>15908</v>
      </c>
      <c r="P163" s="220"/>
      <c r="Q163" s="274" t="s">
        <v>15513</v>
      </c>
      <c r="R163" s="217" t="str">
        <f ca="1">IF(ISERROR($V163),"",OFFSET('Smelter Look-up'!$C$4,$V163-4,0)&amp;"")</f>
        <v>Advanced Chemical Company</v>
      </c>
      <c r="S163" s="225" t="str">
        <f t="shared" ca="1" si="21"/>
        <v>US</v>
      </c>
      <c r="T163" s="225" t="str">
        <f ca="1">IF(B163="","",IF(ISERROR(MATCH($J163,SorP!$B$1:$B$6230,0)),"",INDIRECT("'SorP'!$A$"&amp;MATCH($J163,SorP!$B$1:$B$6230,0))))</f>
        <v>US-RI</v>
      </c>
      <c r="U163" s="241"/>
      <c r="V163" s="275">
        <f>IF(C163="",NA(),MATCH($B163&amp;$C163,'Smelter Look-up'!$J:$J,0))</f>
        <v>7</v>
      </c>
      <c r="W163" s="276"/>
      <c r="X163" s="276">
        <f t="shared" si="22"/>
        <v>0</v>
      </c>
      <c r="Y163" s="276"/>
      <c r="Z163" s="276"/>
      <c r="AB163" s="278" t="str">
        <f t="shared" si="23"/>
        <v>GoldAdvanced Chemical Company</v>
      </c>
    </row>
    <row r="164" spans="1:28" s="277" customFormat="1" ht="37.799999999999997">
      <c r="A164" s="216"/>
      <c r="B164" s="217" t="s">
        <v>1153</v>
      </c>
      <c r="C164" s="221" t="s">
        <v>1898</v>
      </c>
      <c r="D164" s="283" t="s">
        <v>15909</v>
      </c>
      <c r="E164" s="217" t="s">
        <v>1124</v>
      </c>
      <c r="F164" s="217"/>
      <c r="G164" s="217"/>
      <c r="H164" s="218" t="s">
        <v>15910</v>
      </c>
      <c r="I164" s="219" t="s">
        <v>15911</v>
      </c>
      <c r="J164" s="219" t="s">
        <v>1573</v>
      </c>
      <c r="K164" s="273"/>
      <c r="L164" s="273"/>
      <c r="M164" s="273"/>
      <c r="N164" s="273"/>
      <c r="O164" s="273"/>
      <c r="P164" s="220"/>
      <c r="Q164" s="274" t="s">
        <v>15513</v>
      </c>
      <c r="R164" s="217" t="str">
        <f ca="1">IF(ISERROR($V164),"",OFFSET('Smelter Look-up'!$C$4,$V164-4,0)&amp;"")</f>
        <v/>
      </c>
      <c r="S164" s="225" t="str">
        <f t="shared" ca="1" si="21"/>
        <v>DE</v>
      </c>
      <c r="T164" s="225" t="str">
        <f ca="1">IF(B164="","",IF(ISERROR(MATCH($J164,SorP!$B$1:$B$6230,0)),"",INDIRECT("'SorP'!$A$"&amp;MATCH($J164,SorP!$B$1:$B$6230,0))))</f>
        <v>DE-BW</v>
      </c>
      <c r="U164" s="241"/>
      <c r="V164" s="275">
        <f>IF(C164="",NA(),MATCH($B164&amp;$C164,'Smelter Look-up'!$J:$J,0))</f>
        <v>293</v>
      </c>
      <c r="W164" s="276"/>
      <c r="X164" s="276">
        <f t="shared" si="22"/>
        <v>0</v>
      </c>
      <c r="Y164" s="276"/>
      <c r="Z164" s="276"/>
      <c r="AB164" s="278" t="str">
        <f t="shared" si="23"/>
        <v>GoldSmelter not listed</v>
      </c>
    </row>
    <row r="165" spans="1:28" s="277" customFormat="1" ht="37.799999999999997">
      <c r="A165" s="216"/>
      <c r="B165" s="217" t="s">
        <v>1153</v>
      </c>
      <c r="C165" s="221" t="s">
        <v>1898</v>
      </c>
      <c r="D165" s="283" t="s">
        <v>15912</v>
      </c>
      <c r="E165" s="217" t="s">
        <v>1123</v>
      </c>
      <c r="F165" s="217"/>
      <c r="G165" s="217"/>
      <c r="H165" s="218"/>
      <c r="I165" s="219"/>
      <c r="J165" s="219"/>
      <c r="K165" s="273"/>
      <c r="L165" s="273"/>
      <c r="M165" s="273"/>
      <c r="N165" s="273"/>
      <c r="O165" s="273" t="s">
        <v>15913</v>
      </c>
      <c r="P165" s="220"/>
      <c r="Q165" s="274"/>
      <c r="R165" s="217" t="str">
        <f ca="1">IF(ISERROR($V165),"",OFFSET('Smelter Look-up'!$C$4,$V165-4,0)&amp;"")</f>
        <v/>
      </c>
      <c r="S165" s="225" t="str">
        <f t="shared" ca="1" si="21"/>
        <v>CN</v>
      </c>
      <c r="T165" s="225" t="str">
        <f ca="1">IF(B165="","",IF(ISERROR(MATCH($J165,SorP!$B$1:$B$6230,0)),"",INDIRECT("'SorP'!$A$"&amp;MATCH($J165,SorP!$B$1:$B$6230,0))))</f>
        <v/>
      </c>
      <c r="U165" s="241"/>
      <c r="V165" s="275">
        <f>IF(C165="",NA(),MATCH($B165&amp;$C165,'Smelter Look-up'!$J:$J,0))</f>
        <v>293</v>
      </c>
      <c r="W165" s="276"/>
      <c r="X165" s="276">
        <f t="shared" si="22"/>
        <v>0</v>
      </c>
      <c r="Y165" s="276"/>
      <c r="Z165" s="276"/>
      <c r="AB165" s="278" t="str">
        <f t="shared" si="23"/>
        <v>GoldSmelter not listed</v>
      </c>
    </row>
    <row r="166" spans="1:28" s="277" customFormat="1" ht="37.799999999999997">
      <c r="A166" s="216"/>
      <c r="B166" s="217" t="s">
        <v>1153</v>
      </c>
      <c r="C166" s="221" t="s">
        <v>1898</v>
      </c>
      <c r="D166" s="283" t="s">
        <v>15914</v>
      </c>
      <c r="E166" s="217" t="s">
        <v>1123</v>
      </c>
      <c r="F166" s="217"/>
      <c r="G166" s="217"/>
      <c r="H166" s="218"/>
      <c r="I166" s="219"/>
      <c r="J166" s="219"/>
      <c r="K166" s="273"/>
      <c r="L166" s="273"/>
      <c r="M166" s="273"/>
      <c r="N166" s="273"/>
      <c r="O166" s="273"/>
      <c r="P166" s="220"/>
      <c r="Q166" s="274"/>
      <c r="R166" s="217" t="str">
        <f ca="1">IF(ISERROR($V166),"",OFFSET('Smelter Look-up'!$C$4,$V166-4,0)&amp;"")</f>
        <v/>
      </c>
      <c r="S166" s="225" t="str">
        <f t="shared" ref="S166:S196" ca="1" si="24">IF(B166="","",IF(ISERROR(MATCH($E166,CL,0)),"Unknown",INDIRECT("'C'!$A$"&amp;MATCH($E166,CL,0)+1)))</f>
        <v>CN</v>
      </c>
      <c r="T166" s="225" t="str">
        <f ca="1">IF(B166="","",IF(ISERROR(MATCH($J166,SorP!$B$1:$B$6230,0)),"",INDIRECT("'SorP'!$A$"&amp;MATCH($J166,SorP!$B$1:$B$6230,0))))</f>
        <v/>
      </c>
      <c r="U166" s="241"/>
      <c r="V166" s="275">
        <f>IF(C166="",NA(),MATCH($B166&amp;$C166,'Smelter Look-up'!$J:$J,0))</f>
        <v>293</v>
      </c>
      <c r="W166" s="276"/>
      <c r="X166" s="276">
        <f t="shared" ref="X166:X196" si="25">IF(AND(C166="Smelter not listed",OR(LEN(D166)=0,LEN(E166)=0)),1,0)</f>
        <v>0</v>
      </c>
      <c r="Y166" s="276"/>
      <c r="Z166" s="276"/>
      <c r="AB166" s="278" t="str">
        <f t="shared" ref="AB166:AB196" si="26">B166&amp;C166</f>
        <v>GoldSmelter not listed</v>
      </c>
    </row>
    <row r="167" spans="1:28" s="277" customFormat="1" ht="37.799999999999997">
      <c r="A167" s="216"/>
      <c r="B167" s="217" t="s">
        <v>1153</v>
      </c>
      <c r="C167" s="221" t="s">
        <v>1898</v>
      </c>
      <c r="D167" s="283" t="s">
        <v>15915</v>
      </c>
      <c r="E167" s="217" t="s">
        <v>13422</v>
      </c>
      <c r="F167" s="217"/>
      <c r="G167" s="217"/>
      <c r="H167" s="218" t="s">
        <v>15916</v>
      </c>
      <c r="I167" s="219" t="s">
        <v>15917</v>
      </c>
      <c r="J167" s="219" t="s">
        <v>15918</v>
      </c>
      <c r="K167" s="273"/>
      <c r="L167" s="273"/>
      <c r="M167" s="273"/>
      <c r="N167" s="273"/>
      <c r="O167" s="273" t="s">
        <v>15509</v>
      </c>
      <c r="P167" s="220"/>
      <c r="Q167" s="274"/>
      <c r="R167" s="217" t="str">
        <f ca="1">IF(ISERROR($V167),"",OFFSET('Smelter Look-up'!$C$4,$V167-4,0)&amp;"")</f>
        <v/>
      </c>
      <c r="S167" s="225" t="str">
        <f t="shared" ca="1" si="24"/>
        <v>NO</v>
      </c>
      <c r="T167" s="225" t="str">
        <f ca="1">IF(B167="","",IF(ISERROR(MATCH($J167,SorP!$B$1:$B$6230,0)),"",INDIRECT("'SorP'!$A$"&amp;MATCH($J167,SorP!$B$1:$B$6230,0))))</f>
        <v/>
      </c>
      <c r="U167" s="241"/>
      <c r="V167" s="275">
        <f>IF(C167="",NA(),MATCH($B167&amp;$C167,'Smelter Look-up'!$J:$J,0))</f>
        <v>293</v>
      </c>
      <c r="W167" s="276"/>
      <c r="X167" s="276">
        <f t="shared" si="25"/>
        <v>0</v>
      </c>
      <c r="Y167" s="276"/>
      <c r="Z167" s="276"/>
      <c r="AB167" s="278" t="str">
        <f t="shared" si="26"/>
        <v>GoldSmelter not listed</v>
      </c>
    </row>
    <row r="168" spans="1:28" s="277" customFormat="1" ht="37.799999999999997">
      <c r="A168" s="216"/>
      <c r="B168" s="217" t="s">
        <v>1153</v>
      </c>
      <c r="C168" s="221" t="s">
        <v>1898</v>
      </c>
      <c r="D168" s="283" t="s">
        <v>15919</v>
      </c>
      <c r="E168" s="217" t="s">
        <v>1123</v>
      </c>
      <c r="F168" s="217"/>
      <c r="G168" s="217"/>
      <c r="H168" s="218" t="s">
        <v>15920</v>
      </c>
      <c r="I168" s="219" t="s">
        <v>15921</v>
      </c>
      <c r="J168" s="219" t="s">
        <v>15922</v>
      </c>
      <c r="K168" s="273"/>
      <c r="L168" s="273"/>
      <c r="M168" s="273"/>
      <c r="N168" s="273"/>
      <c r="O168" s="273"/>
      <c r="P168" s="220"/>
      <c r="Q168" s="274"/>
      <c r="R168" s="217" t="str">
        <f ca="1">IF(ISERROR($V168),"",OFFSET('Smelter Look-up'!$C$4,$V168-4,0)&amp;"")</f>
        <v/>
      </c>
      <c r="S168" s="225" t="str">
        <f t="shared" ca="1" si="24"/>
        <v>CN</v>
      </c>
      <c r="T168" s="225" t="str">
        <f ca="1">IF(B168="","",IF(ISERROR(MATCH($J168,SorP!$B$1:$B$6230,0)),"",INDIRECT("'SorP'!$A$"&amp;MATCH($J168,SorP!$B$1:$B$6230,0))))</f>
        <v/>
      </c>
      <c r="U168" s="241"/>
      <c r="V168" s="275">
        <f>IF(C168="",NA(),MATCH($B168&amp;$C168,'Smelter Look-up'!$J:$J,0))</f>
        <v>293</v>
      </c>
      <c r="W168" s="276"/>
      <c r="X168" s="276">
        <f t="shared" si="25"/>
        <v>0</v>
      </c>
      <c r="Y168" s="276"/>
      <c r="Z168" s="276"/>
      <c r="AB168" s="278" t="str">
        <f t="shared" si="26"/>
        <v>GoldSmelter not listed</v>
      </c>
    </row>
    <row r="169" spans="1:28" s="277" customFormat="1" ht="37.799999999999997">
      <c r="A169" s="216"/>
      <c r="B169" s="217" t="s">
        <v>1153</v>
      </c>
      <c r="C169" s="221" t="s">
        <v>1898</v>
      </c>
      <c r="D169" s="283" t="s">
        <v>15923</v>
      </c>
      <c r="E169" s="217" t="s">
        <v>1123</v>
      </c>
      <c r="F169" s="217"/>
      <c r="G169" s="217"/>
      <c r="H169" s="218"/>
      <c r="I169" s="219"/>
      <c r="J169" s="219"/>
      <c r="K169" s="273"/>
      <c r="L169" s="273"/>
      <c r="M169" s="273"/>
      <c r="N169" s="273"/>
      <c r="O169" s="273" t="s">
        <v>15913</v>
      </c>
      <c r="P169" s="220"/>
      <c r="Q169" s="274"/>
      <c r="R169" s="217" t="str">
        <f ca="1">IF(ISERROR($V169),"",OFFSET('Smelter Look-up'!$C$4,$V169-4,0)&amp;"")</f>
        <v/>
      </c>
      <c r="S169" s="225" t="str">
        <f t="shared" ca="1" si="24"/>
        <v>CN</v>
      </c>
      <c r="T169" s="225" t="str">
        <f ca="1">IF(B169="","",IF(ISERROR(MATCH($J169,SorP!$B$1:$B$6230,0)),"",INDIRECT("'SorP'!$A$"&amp;MATCH($J169,SorP!$B$1:$B$6230,0))))</f>
        <v/>
      </c>
      <c r="U169" s="241"/>
      <c r="V169" s="275">
        <f>IF(C169="",NA(),MATCH($B169&amp;$C169,'Smelter Look-up'!$J:$J,0))</f>
        <v>293</v>
      </c>
      <c r="W169" s="276"/>
      <c r="X169" s="276">
        <f t="shared" si="25"/>
        <v>0</v>
      </c>
      <c r="Y169" s="276"/>
      <c r="Z169" s="276"/>
      <c r="AB169" s="278" t="str">
        <f t="shared" si="26"/>
        <v>GoldSmelter not listed</v>
      </c>
    </row>
    <row r="170" spans="1:28" s="277" customFormat="1" ht="37.799999999999997">
      <c r="A170" s="216"/>
      <c r="B170" s="217" t="s">
        <v>1153</v>
      </c>
      <c r="C170" s="221" t="s">
        <v>1898</v>
      </c>
      <c r="D170" s="283" t="s">
        <v>15924</v>
      </c>
      <c r="E170" s="217" t="s">
        <v>1123</v>
      </c>
      <c r="F170" s="217"/>
      <c r="G170" s="217"/>
      <c r="H170" s="218" t="s">
        <v>15925</v>
      </c>
      <c r="I170" s="219" t="s">
        <v>15926</v>
      </c>
      <c r="J170" s="219" t="s">
        <v>15927</v>
      </c>
      <c r="K170" s="273"/>
      <c r="L170" s="273"/>
      <c r="M170" s="273"/>
      <c r="N170" s="273"/>
      <c r="O170" s="273" t="s">
        <v>15928</v>
      </c>
      <c r="P170" s="220"/>
      <c r="Q170" s="274"/>
      <c r="R170" s="217" t="str">
        <f ca="1">IF(ISERROR($V170),"",OFFSET('Smelter Look-up'!$C$4,$V170-4,0)&amp;"")</f>
        <v/>
      </c>
      <c r="S170" s="225" t="str">
        <f t="shared" ca="1" si="24"/>
        <v>CN</v>
      </c>
      <c r="T170" s="225" t="str">
        <f ca="1">IF(B170="","",IF(ISERROR(MATCH($J170,SorP!$B$1:$B$6230,0)),"",INDIRECT("'SorP'!$A$"&amp;MATCH($J170,SorP!$B$1:$B$6230,0))))</f>
        <v/>
      </c>
      <c r="U170" s="241"/>
      <c r="V170" s="275">
        <f>IF(C170="",NA(),MATCH($B170&amp;$C170,'Smelter Look-up'!$J:$J,0))</f>
        <v>293</v>
      </c>
      <c r="W170" s="276"/>
      <c r="X170" s="276">
        <f t="shared" si="25"/>
        <v>0</v>
      </c>
      <c r="Y170" s="276"/>
      <c r="Z170" s="276"/>
      <c r="AB170" s="278" t="str">
        <f t="shared" si="26"/>
        <v>GoldSmelter not listed</v>
      </c>
    </row>
    <row r="171" spans="1:28" s="277" customFormat="1" ht="37.799999999999997">
      <c r="A171" s="216"/>
      <c r="B171" s="217" t="s">
        <v>1153</v>
      </c>
      <c r="C171" s="221" t="s">
        <v>1898</v>
      </c>
      <c r="D171" s="283" t="s">
        <v>15929</v>
      </c>
      <c r="E171" s="217" t="s">
        <v>2576</v>
      </c>
      <c r="F171" s="217"/>
      <c r="G171" s="217"/>
      <c r="H171" s="218" t="s">
        <v>15930</v>
      </c>
      <c r="I171" s="219" t="s">
        <v>15931</v>
      </c>
      <c r="J171" s="219" t="s">
        <v>1647</v>
      </c>
      <c r="K171" s="273"/>
      <c r="L171" s="273"/>
      <c r="M171" s="273"/>
      <c r="N171" s="273"/>
      <c r="O171" s="273"/>
      <c r="P171" s="220"/>
      <c r="Q171" s="274"/>
      <c r="R171" s="217" t="str">
        <f ca="1">IF(ISERROR($V171),"",OFFSET('Smelter Look-up'!$C$4,$V171-4,0)&amp;"")</f>
        <v/>
      </c>
      <c r="S171" s="225" t="str">
        <f t="shared" ca="1" si="24"/>
        <v>US</v>
      </c>
      <c r="T171" s="225" t="str">
        <f ca="1">IF(B171="","",IF(ISERROR(MATCH($J171,SorP!$B$1:$B$6230,0)),"",INDIRECT("'SorP'!$A$"&amp;MATCH($J171,SorP!$B$1:$B$6230,0))))</f>
        <v>US-NY</v>
      </c>
      <c r="U171" s="241"/>
      <c r="V171" s="275">
        <f>IF(C171="",NA(),MATCH($B171&amp;$C171,'Smelter Look-up'!$J:$J,0))</f>
        <v>293</v>
      </c>
      <c r="W171" s="276"/>
      <c r="X171" s="276">
        <f t="shared" si="25"/>
        <v>0</v>
      </c>
      <c r="Y171" s="276"/>
      <c r="Z171" s="276"/>
      <c r="AB171" s="278" t="str">
        <f t="shared" si="26"/>
        <v>GoldSmelter not listed</v>
      </c>
    </row>
    <row r="172" spans="1:28" s="277" customFormat="1" ht="37.799999999999997">
      <c r="A172" s="216"/>
      <c r="B172" s="217" t="s">
        <v>1153</v>
      </c>
      <c r="C172" s="221" t="s">
        <v>1898</v>
      </c>
      <c r="D172" s="283" t="s">
        <v>15932</v>
      </c>
      <c r="E172" s="217" t="s">
        <v>1123</v>
      </c>
      <c r="F172" s="217"/>
      <c r="G172" s="217"/>
      <c r="H172" s="218"/>
      <c r="I172" s="219"/>
      <c r="J172" s="219"/>
      <c r="K172" s="273"/>
      <c r="L172" s="273"/>
      <c r="M172" s="273"/>
      <c r="N172" s="273"/>
      <c r="O172" s="273"/>
      <c r="P172" s="220"/>
      <c r="Q172" s="274"/>
      <c r="R172" s="217" t="str">
        <f ca="1">IF(ISERROR($V172),"",OFFSET('Smelter Look-up'!$C$4,$V172-4,0)&amp;"")</f>
        <v/>
      </c>
      <c r="S172" s="225" t="str">
        <f t="shared" ca="1" si="24"/>
        <v>CN</v>
      </c>
      <c r="T172" s="225" t="str">
        <f ca="1">IF(B172="","",IF(ISERROR(MATCH($J172,SorP!$B$1:$B$6230,0)),"",INDIRECT("'SorP'!$A$"&amp;MATCH($J172,SorP!$B$1:$B$6230,0))))</f>
        <v/>
      </c>
      <c r="U172" s="241"/>
      <c r="V172" s="275">
        <f>IF(C172="",NA(),MATCH($B172&amp;$C172,'Smelter Look-up'!$J:$J,0))</f>
        <v>293</v>
      </c>
      <c r="W172" s="276"/>
      <c r="X172" s="276">
        <f t="shared" si="25"/>
        <v>0</v>
      </c>
      <c r="Y172" s="276"/>
      <c r="Z172" s="276"/>
      <c r="AB172" s="278" t="str">
        <f t="shared" si="26"/>
        <v>GoldSmelter not listed</v>
      </c>
    </row>
    <row r="173" spans="1:28" s="277" customFormat="1" ht="37.799999999999997">
      <c r="A173" s="216"/>
      <c r="B173" s="217" t="s">
        <v>1153</v>
      </c>
      <c r="C173" s="221" t="s">
        <v>1898</v>
      </c>
      <c r="D173" s="283" t="s">
        <v>15932</v>
      </c>
      <c r="E173" s="217" t="s">
        <v>2575</v>
      </c>
      <c r="F173" s="217"/>
      <c r="G173" s="217"/>
      <c r="H173" s="218"/>
      <c r="I173" s="219"/>
      <c r="J173" s="219"/>
      <c r="K173" s="273"/>
      <c r="L173" s="273"/>
      <c r="M173" s="273"/>
      <c r="N173" s="273"/>
      <c r="O173" s="273" t="s">
        <v>15933</v>
      </c>
      <c r="P173" s="220"/>
      <c r="Q173" s="274"/>
      <c r="R173" s="217" t="str">
        <f ca="1">IF(ISERROR($V173),"",OFFSET('Smelter Look-up'!$C$4,$V173-4,0)&amp;"")</f>
        <v/>
      </c>
      <c r="S173" s="225" t="str">
        <f t="shared" ca="1" si="24"/>
        <v>TW</v>
      </c>
      <c r="T173" s="225" t="str">
        <f ca="1">IF(B173="","",IF(ISERROR(MATCH($J173,SorP!$B$1:$B$6230,0)),"",INDIRECT("'SorP'!$A$"&amp;MATCH($J173,SorP!$B$1:$B$6230,0))))</f>
        <v/>
      </c>
      <c r="U173" s="241"/>
      <c r="V173" s="275">
        <f>IF(C173="",NA(),MATCH($B173&amp;$C173,'Smelter Look-up'!$J:$J,0))</f>
        <v>293</v>
      </c>
      <c r="W173" s="276"/>
      <c r="X173" s="276">
        <f t="shared" si="25"/>
        <v>0</v>
      </c>
      <c r="Y173" s="276"/>
      <c r="Z173" s="276"/>
      <c r="AB173" s="278" t="str">
        <f t="shared" si="26"/>
        <v>GoldSmelter not listed</v>
      </c>
    </row>
    <row r="174" spans="1:28" s="277" customFormat="1" ht="100.8">
      <c r="A174" s="216" t="s">
        <v>2462</v>
      </c>
      <c r="B174" s="217" t="s">
        <v>1155</v>
      </c>
      <c r="C174" s="221" t="s">
        <v>14221</v>
      </c>
      <c r="D174" s="283" t="s">
        <v>14221</v>
      </c>
      <c r="E174" s="217" t="s">
        <v>14432</v>
      </c>
      <c r="F174" s="217" t="str">
        <f ca="1">IF(ISERROR($V174),"",OFFSET('Smelter Look-up'!$E$4,$V174-4,0))</f>
        <v>CID002847</v>
      </c>
      <c r="G174" s="217" t="str">
        <f ca="1">IF(C174=$X$4,"Enter smelter details",IF(ISERROR($V174),"",OFFSET('Smelter Look-up'!$F$4,$V174-4,0)))</f>
        <v>RMI</v>
      </c>
      <c r="H174" s="218" t="s">
        <v>15934</v>
      </c>
      <c r="I174" s="219" t="s">
        <v>15935</v>
      </c>
      <c r="J174" s="219" t="s">
        <v>8470</v>
      </c>
      <c r="K174" s="273"/>
      <c r="L174" s="273"/>
      <c r="M174" s="273"/>
      <c r="N174" s="273" t="s">
        <v>15936</v>
      </c>
      <c r="O174" s="273" t="s">
        <v>15937</v>
      </c>
      <c r="P174" s="220"/>
      <c r="Q174" s="274" t="s">
        <v>15513</v>
      </c>
      <c r="R174" s="217" t="str">
        <f ca="1">IF(ISERROR($V174),"",OFFSET('Smelter Look-up'!$C$4,$V174-4,0)&amp;"")</f>
        <v>PRG Dooel</v>
      </c>
      <c r="S174" s="225" t="str">
        <f t="shared" ca="1" si="24"/>
        <v>MK</v>
      </c>
      <c r="T174" s="225" t="str">
        <f ca="1">IF(B174="","",IF(ISERROR(MATCH($J174,SorP!$B$1:$B$6230,0)),"",INDIRECT("'SorP'!$A$"&amp;MATCH($J174,SorP!$B$1:$B$6230,0))))</f>
        <v>MK-19</v>
      </c>
      <c r="U174" s="241"/>
      <c r="V174" s="275">
        <f>IF(C174="",NA(),MATCH($B174&amp;$C174,'Smelter Look-up'!$J:$J,0))</f>
        <v>335</v>
      </c>
      <c r="W174" s="276"/>
      <c r="X174" s="276">
        <f t="shared" si="25"/>
        <v>0</v>
      </c>
      <c r="Y174" s="276"/>
      <c r="Z174" s="276"/>
      <c r="AB174" s="278" t="str">
        <f t="shared" si="26"/>
        <v>TantalumPRG Dooel</v>
      </c>
    </row>
    <row r="175" spans="1:28" s="277" customFormat="1" ht="126">
      <c r="A175" s="216" t="s">
        <v>2387</v>
      </c>
      <c r="B175" s="217" t="s">
        <v>1155</v>
      </c>
      <c r="C175" s="221" t="s">
        <v>2386</v>
      </c>
      <c r="D175" s="283" t="s">
        <v>2386</v>
      </c>
      <c r="E175" s="217" t="s">
        <v>1123</v>
      </c>
      <c r="F175" s="217" t="str">
        <f ca="1">IF(ISERROR($V175),"",OFFSET('Smelter Look-up'!$E$4,$V175-4,0))</f>
        <v>CID002842</v>
      </c>
      <c r="G175" s="217" t="str">
        <f ca="1">IF(C175=$X$4,"Enter smelter details",IF(ISERROR($V175),"",OFFSET('Smelter Look-up'!$F$4,$V175-4,0)))</f>
        <v>RMI</v>
      </c>
      <c r="H175" s="218" t="s">
        <v>15938</v>
      </c>
      <c r="I175" s="219" t="s">
        <v>15939</v>
      </c>
      <c r="J175" s="219" t="s">
        <v>13966</v>
      </c>
      <c r="K175" s="273"/>
      <c r="L175" s="273"/>
      <c r="M175" s="273"/>
      <c r="N175" s="273" t="s">
        <v>15940</v>
      </c>
      <c r="O175" s="273" t="s">
        <v>15941</v>
      </c>
      <c r="P175" s="220"/>
      <c r="Q175" s="274" t="s">
        <v>15513</v>
      </c>
      <c r="R175" s="217" t="str">
        <f ca="1">IF(ISERROR($V175),"",OFFSET('Smelter Look-up'!$C$4,$V175-4,0)&amp;"")</f>
        <v>Jiangxi Tuohong New Raw Material</v>
      </c>
      <c r="S175" s="225" t="str">
        <f t="shared" ca="1" si="24"/>
        <v>CN</v>
      </c>
      <c r="T175" s="225" t="str">
        <f ca="1">IF(B175="","",IF(ISERROR(MATCH($J175,SorP!$B$1:$B$6230,0)),"",INDIRECT("'SorP'!$A$"&amp;MATCH($J175,SorP!$B$1:$B$6230,0))))</f>
        <v>CN-JX</v>
      </c>
      <c r="U175" s="241"/>
      <c r="V175" s="275">
        <f>IF(C175="",NA(),MATCH($B175&amp;$C175,'Smelter Look-up'!$J:$J,0))</f>
        <v>315</v>
      </c>
      <c r="W175" s="276"/>
      <c r="X175" s="276">
        <f t="shared" si="25"/>
        <v>0</v>
      </c>
      <c r="Y175" s="276"/>
      <c r="Z175" s="276"/>
      <c r="AB175" s="278" t="str">
        <f t="shared" si="26"/>
        <v>TantalumJiangxi Tuohong New Raw Material</v>
      </c>
    </row>
    <row r="176" spans="1:28" s="277" customFormat="1" ht="113.4">
      <c r="A176" s="216" t="s">
        <v>1795</v>
      </c>
      <c r="B176" s="217" t="s">
        <v>1155</v>
      </c>
      <c r="C176" s="221" t="s">
        <v>12761</v>
      </c>
      <c r="D176" s="283" t="s">
        <v>12761</v>
      </c>
      <c r="E176" s="217" t="s">
        <v>1119</v>
      </c>
      <c r="F176" s="217" t="str">
        <f ca="1">IF(ISERROR($V176),"",OFFSET('Smelter Look-up'!$E$4,$V176-4,0))</f>
        <v>CID002707</v>
      </c>
      <c r="G176" s="217" t="str">
        <f ca="1">IF(C176=$X$4,"Enter smelter details",IF(ISERROR($V176),"",OFFSET('Smelter Look-up'!$F$4,$V176-4,0)))</f>
        <v>RMI</v>
      </c>
      <c r="H176" s="218" t="s">
        <v>15942</v>
      </c>
      <c r="I176" s="219" t="s">
        <v>15943</v>
      </c>
      <c r="J176" s="219" t="s">
        <v>1796</v>
      </c>
      <c r="K176" s="273"/>
      <c r="L176" s="273"/>
      <c r="M176" s="273"/>
      <c r="N176" s="273" t="s">
        <v>15538</v>
      </c>
      <c r="O176" s="273" t="s">
        <v>15944</v>
      </c>
      <c r="P176" s="220"/>
      <c r="Q176" s="274" t="s">
        <v>15513</v>
      </c>
      <c r="R176" s="217" t="str">
        <f ca="1">IF(ISERROR($V176),"",OFFSET('Smelter Look-up'!$C$4,$V176-4,0)&amp;"")</f>
        <v>Resind Industria e Comercio Ltda.</v>
      </c>
      <c r="S176" s="225" t="str">
        <f t="shared" ca="1" si="24"/>
        <v>BR</v>
      </c>
      <c r="T176" s="225" t="str">
        <f ca="1">IF(B176="","",IF(ISERROR(MATCH($J176,SorP!$B$1:$B$6230,0)),"",INDIRECT("'SorP'!$A$"&amp;MATCH($J176,SorP!$B$1:$B$6230,0))))</f>
        <v>BR-MG</v>
      </c>
      <c r="U176" s="241"/>
      <c r="V176" s="275">
        <f>IF(C176="",NA(),MATCH($B176&amp;$C176,'Smelter Look-up'!$J:$J,0))</f>
        <v>338</v>
      </c>
      <c r="W176" s="276"/>
      <c r="X176" s="276">
        <f t="shared" si="25"/>
        <v>0</v>
      </c>
      <c r="Y176" s="276"/>
      <c r="Z176" s="276"/>
      <c r="AB176" s="278" t="str">
        <f t="shared" si="26"/>
        <v>TantalumResind Industria e Comercio Ltda.</v>
      </c>
    </row>
    <row r="177" spans="1:28" s="277" customFormat="1" ht="289.8">
      <c r="A177" s="216" t="s">
        <v>1435</v>
      </c>
      <c r="B177" s="217" t="s">
        <v>1155</v>
      </c>
      <c r="C177" s="221" t="s">
        <v>1434</v>
      </c>
      <c r="D177" s="283" t="s">
        <v>1434</v>
      </c>
      <c r="E177" s="217" t="s">
        <v>1131</v>
      </c>
      <c r="F177" s="217" t="str">
        <f ca="1">IF(ISERROR($V177),"",OFFSET('Smelter Look-up'!$E$4,$V177-4,0))</f>
        <v>CID002558</v>
      </c>
      <c r="G177" s="217" t="str">
        <f ca="1">IF(C177=$X$4,"Enter smelter details",IF(ISERROR($V177),"",OFFSET('Smelter Look-up'!$F$4,$V177-4,0)))</f>
        <v>RMI</v>
      </c>
      <c r="H177" s="218" t="s">
        <v>15945</v>
      </c>
      <c r="I177" s="219" t="s">
        <v>1793</v>
      </c>
      <c r="J177" s="219" t="s">
        <v>1584</v>
      </c>
      <c r="K177" s="273"/>
      <c r="L177" s="273"/>
      <c r="M177" s="273"/>
      <c r="N177" s="273" t="s">
        <v>15946</v>
      </c>
      <c r="O177" s="273" t="s">
        <v>15947</v>
      </c>
      <c r="P177" s="220"/>
      <c r="Q177" s="274" t="s">
        <v>15513</v>
      </c>
      <c r="R177" s="217" t="str">
        <f ca="1">IF(ISERROR($V177),"",OFFSET('Smelter Look-up'!$C$4,$V177-4,0)&amp;"")</f>
        <v>Global Advanced Metals Aizu</v>
      </c>
      <c r="S177" s="225" t="str">
        <f t="shared" ca="1" si="24"/>
        <v>JP</v>
      </c>
      <c r="T177" s="225" t="str">
        <f ca="1">IF(B177="","",IF(ISERROR(MATCH($J177,SorP!$B$1:$B$6230,0)),"",INDIRECT("'SorP'!$A$"&amp;MATCH($J177,SorP!$B$1:$B$6230,0))))</f>
        <v>JP-07</v>
      </c>
      <c r="U177" s="241"/>
      <c r="V177" s="275">
        <f>IF(C177="",NA(),MATCH($B177&amp;$C177,'Smelter Look-up'!$J:$J,0))</f>
        <v>304</v>
      </c>
      <c r="W177" s="276"/>
      <c r="X177" s="276">
        <f t="shared" si="25"/>
        <v>0</v>
      </c>
      <c r="Y177" s="276"/>
      <c r="Z177" s="276"/>
      <c r="AB177" s="278" t="str">
        <f t="shared" si="26"/>
        <v>TantalumGlobal Advanced Metals Aizu</v>
      </c>
    </row>
    <row r="178" spans="1:28" s="277" customFormat="1" ht="352.8">
      <c r="A178" s="216" t="s">
        <v>1437</v>
      </c>
      <c r="B178" s="217" t="s">
        <v>1155</v>
      </c>
      <c r="C178" s="221" t="s">
        <v>1436</v>
      </c>
      <c r="D178" s="283" t="s">
        <v>1436</v>
      </c>
      <c r="E178" s="217" t="s">
        <v>2576</v>
      </c>
      <c r="F178" s="217" t="str">
        <f ca="1">IF(ISERROR($V178),"",OFFSET('Smelter Look-up'!$E$4,$V178-4,0))</f>
        <v>CID002557</v>
      </c>
      <c r="G178" s="217" t="str">
        <f ca="1">IF(C178=$X$4,"Enter smelter details",IF(ISERROR($V178),"",OFFSET('Smelter Look-up'!$F$4,$V178-4,0)))</f>
        <v>RMI</v>
      </c>
      <c r="H178" s="218" t="s">
        <v>15948</v>
      </c>
      <c r="I178" s="219" t="s">
        <v>1792</v>
      </c>
      <c r="J178" s="219" t="s">
        <v>1774</v>
      </c>
      <c r="K178" s="273"/>
      <c r="L178" s="273"/>
      <c r="M178" s="273"/>
      <c r="N178" s="273" t="s">
        <v>15949</v>
      </c>
      <c r="O178" s="273" t="s">
        <v>15950</v>
      </c>
      <c r="P178" s="220"/>
      <c r="Q178" s="274" t="s">
        <v>15513</v>
      </c>
      <c r="R178" s="217" t="str">
        <f ca="1">IF(ISERROR($V178),"",OFFSET('Smelter Look-up'!$C$4,$V178-4,0)&amp;"")</f>
        <v>Global Advanced Metals Boyertown</v>
      </c>
      <c r="S178" s="225" t="str">
        <f t="shared" ca="1" si="24"/>
        <v>US</v>
      </c>
      <c r="T178" s="225" t="str">
        <f ca="1">IF(B178="","",IF(ISERROR(MATCH($J178,SorP!$B$1:$B$6230,0)),"",INDIRECT("'SorP'!$A$"&amp;MATCH($J178,SorP!$B$1:$B$6230,0))))</f>
        <v>US-PA</v>
      </c>
      <c r="U178" s="241"/>
      <c r="V178" s="275">
        <f>IF(C178="",NA(),MATCH($B178&amp;$C178,'Smelter Look-up'!$J:$J,0))</f>
        <v>305</v>
      </c>
      <c r="W178" s="276"/>
      <c r="X178" s="276">
        <f t="shared" si="25"/>
        <v>0</v>
      </c>
      <c r="Y178" s="276"/>
      <c r="Z178" s="276"/>
      <c r="AB178" s="278" t="str">
        <f t="shared" si="26"/>
        <v>TantalumGlobal Advanced Metals Boyertown</v>
      </c>
    </row>
    <row r="179" spans="1:28" s="277" customFormat="1" ht="378">
      <c r="A179" s="216" t="s">
        <v>1447</v>
      </c>
      <c r="B179" s="217" t="s">
        <v>1155</v>
      </c>
      <c r="C179" s="221" t="s">
        <v>2461</v>
      </c>
      <c r="D179" s="283" t="s">
        <v>2461</v>
      </c>
      <c r="E179" s="217" t="s">
        <v>1124</v>
      </c>
      <c r="F179" s="217" t="str">
        <f ca="1">IF(ISERROR($V179),"",OFFSET('Smelter Look-up'!$E$4,$V179-4,0))</f>
        <v>CID002550</v>
      </c>
      <c r="G179" s="217" t="str">
        <f ca="1">IF(C179=$X$4,"Enter smelter details",IF(ISERROR($V179),"",OFFSET('Smelter Look-up'!$F$4,$V179-4,0)))</f>
        <v>RMI</v>
      </c>
      <c r="H179" s="218" t="s">
        <v>15951</v>
      </c>
      <c r="I179" s="219" t="s">
        <v>1787</v>
      </c>
      <c r="J179" s="219" t="s">
        <v>1573</v>
      </c>
      <c r="K179" s="273"/>
      <c r="L179" s="273"/>
      <c r="M179" s="273"/>
      <c r="N179" s="273" t="s">
        <v>15952</v>
      </c>
      <c r="O179" s="273" t="s">
        <v>15953</v>
      </c>
      <c r="P179" s="220"/>
      <c r="Q179" s="274" t="s">
        <v>15513</v>
      </c>
      <c r="R179" s="217" t="str">
        <f ca="1">IF(ISERROR($V179),"",OFFSET('Smelter Look-up'!$C$4,$V179-4,0)&amp;"")</f>
        <v>H.C. Starck Smelting GmbH &amp; Co. KG</v>
      </c>
      <c r="S179" s="225" t="str">
        <f t="shared" ca="1" si="24"/>
        <v>DE</v>
      </c>
      <c r="T179" s="225" t="str">
        <f ca="1">IF(B179="","",IF(ISERROR(MATCH($J179,SorP!$B$1:$B$6230,0)),"",INDIRECT("'SorP'!$A$"&amp;MATCH($J179,SorP!$B$1:$B$6230,0))))</f>
        <v>DE-BW</v>
      </c>
      <c r="U179" s="241"/>
      <c r="V179" s="275">
        <f>IF(C179="",NA(),MATCH($B179&amp;$C179,'Smelter Look-up'!$J:$J,0))</f>
        <v>311</v>
      </c>
      <c r="W179" s="276"/>
      <c r="X179" s="276">
        <f t="shared" si="25"/>
        <v>0</v>
      </c>
      <c r="Y179" s="276"/>
      <c r="Z179" s="276"/>
      <c r="AB179" s="278" t="str">
        <f t="shared" si="26"/>
        <v>TantalumH.C. Starck Smelting GmbH &amp; Co. KG</v>
      </c>
    </row>
    <row r="180" spans="1:28" s="277" customFormat="1" ht="365.4">
      <c r="A180" s="216" t="s">
        <v>1446</v>
      </c>
      <c r="B180" s="217" t="s">
        <v>1155</v>
      </c>
      <c r="C180" s="221" t="s">
        <v>1445</v>
      </c>
      <c r="D180" s="283" t="s">
        <v>1445</v>
      </c>
      <c r="E180" s="217" t="s">
        <v>1131</v>
      </c>
      <c r="F180" s="217" t="str">
        <f ca="1">IF(ISERROR($V180),"",OFFSET('Smelter Look-up'!$E$4,$V180-4,0))</f>
        <v>CID002549</v>
      </c>
      <c r="G180" s="217" t="str">
        <f ca="1">IF(C180=$X$4,"Enter smelter details",IF(ISERROR($V180),"",OFFSET('Smelter Look-up'!$F$4,$V180-4,0)))</f>
        <v>RMI</v>
      </c>
      <c r="H180" s="218" t="s">
        <v>15954</v>
      </c>
      <c r="I180" s="219" t="s">
        <v>1790</v>
      </c>
      <c r="J180" s="219" t="s">
        <v>1791</v>
      </c>
      <c r="K180" s="273"/>
      <c r="L180" s="273"/>
      <c r="M180" s="273"/>
      <c r="N180" s="273" t="s">
        <v>15955</v>
      </c>
      <c r="O180" s="273" t="s">
        <v>15956</v>
      </c>
      <c r="P180" s="220"/>
      <c r="Q180" s="274" t="s">
        <v>15513</v>
      </c>
      <c r="R180" s="217" t="str">
        <f ca="1">IF(ISERROR($V180),"",OFFSET('Smelter Look-up'!$C$4,$V180-4,0)&amp;"")</f>
        <v>H.C. Starck Ltd.</v>
      </c>
      <c r="S180" s="225" t="str">
        <f t="shared" ca="1" si="24"/>
        <v>JP</v>
      </c>
      <c r="T180" s="225" t="str">
        <f ca="1">IF(B180="","",IF(ISERROR(MATCH($J180,SorP!$B$1:$B$6230,0)),"",INDIRECT("'SorP'!$A$"&amp;MATCH($J180,SorP!$B$1:$B$6230,0))))</f>
        <v>JP-08</v>
      </c>
      <c r="U180" s="241"/>
      <c r="V180" s="275">
        <f>IF(C180="",NA(),MATCH($B180&amp;$C180,'Smelter Look-up'!$J:$J,0))</f>
        <v>310</v>
      </c>
      <c r="W180" s="276"/>
      <c r="X180" s="276">
        <f t="shared" si="25"/>
        <v>0</v>
      </c>
      <c r="Y180" s="276"/>
      <c r="Z180" s="276"/>
      <c r="AB180" s="278" t="str">
        <f t="shared" si="26"/>
        <v>TantalumH.C. Starck Ltd.</v>
      </c>
    </row>
    <row r="181" spans="1:28" s="277" customFormat="1" ht="390.6">
      <c r="A181" s="216" t="s">
        <v>1444</v>
      </c>
      <c r="B181" s="217" t="s">
        <v>1155</v>
      </c>
      <c r="C181" s="221" t="s">
        <v>1443</v>
      </c>
      <c r="D181" s="283" t="s">
        <v>1443</v>
      </c>
      <c r="E181" s="217" t="s">
        <v>2576</v>
      </c>
      <c r="F181" s="217" t="str">
        <f ca="1">IF(ISERROR($V181),"",OFFSET('Smelter Look-up'!$E$4,$V181-4,0))</f>
        <v>CID002548</v>
      </c>
      <c r="G181" s="217" t="str">
        <f ca="1">IF(C181=$X$4,"Enter smelter details",IF(ISERROR($V181),"",OFFSET('Smelter Look-up'!$F$4,$V181-4,0)))</f>
        <v>RMI</v>
      </c>
      <c r="H181" s="218" t="s">
        <v>15957</v>
      </c>
      <c r="I181" s="219" t="s">
        <v>1789</v>
      </c>
      <c r="J181" s="219" t="s">
        <v>1655</v>
      </c>
      <c r="K181" s="273"/>
      <c r="L181" s="273"/>
      <c r="M181" s="273"/>
      <c r="N181" s="273" t="s">
        <v>15958</v>
      </c>
      <c r="O181" s="273" t="s">
        <v>15959</v>
      </c>
      <c r="P181" s="220"/>
      <c r="Q181" s="274" t="s">
        <v>15513</v>
      </c>
      <c r="R181" s="217" t="str">
        <f ca="1">IF(ISERROR($V181),"",OFFSET('Smelter Look-up'!$C$4,$V181-4,0)&amp;"")</f>
        <v>H.C. Starck Inc.</v>
      </c>
      <c r="S181" s="225" t="str">
        <f t="shared" ca="1" si="24"/>
        <v>US</v>
      </c>
      <c r="T181" s="225" t="str">
        <f ca="1">IF(B181="","",IF(ISERROR(MATCH($J181,SorP!$B$1:$B$6230,0)),"",INDIRECT("'SorP'!$A$"&amp;MATCH($J181,SorP!$B$1:$B$6230,0))))</f>
        <v>US-MA</v>
      </c>
      <c r="U181" s="241"/>
      <c r="V181" s="275">
        <f>IF(C181="",NA(),MATCH($B181&amp;$C181,'Smelter Look-up'!$J:$J,0))</f>
        <v>309</v>
      </c>
      <c r="W181" s="276"/>
      <c r="X181" s="276">
        <f t="shared" si="25"/>
        <v>0</v>
      </c>
      <c r="Y181" s="276"/>
      <c r="Z181" s="276"/>
      <c r="AB181" s="278" t="str">
        <f t="shared" si="26"/>
        <v>TantalumH.C. Starck Inc.</v>
      </c>
    </row>
    <row r="182" spans="1:28" s="277" customFormat="1" ht="289.8">
      <c r="A182" s="216" t="s">
        <v>1442</v>
      </c>
      <c r="B182" s="217" t="s">
        <v>1155</v>
      </c>
      <c r="C182" s="221" t="s">
        <v>1441</v>
      </c>
      <c r="D182" s="283" t="s">
        <v>1441</v>
      </c>
      <c r="E182" s="217" t="s">
        <v>1124</v>
      </c>
      <c r="F182" s="217" t="str">
        <f ca="1">IF(ISERROR($V182),"",OFFSET('Smelter Look-up'!$E$4,$V182-4,0))</f>
        <v>CID002547</v>
      </c>
      <c r="G182" s="217" t="str">
        <f ca="1">IF(C182=$X$4,"Enter smelter details",IF(ISERROR($V182),"",OFFSET('Smelter Look-up'!$F$4,$V182-4,0)))</f>
        <v>RMI</v>
      </c>
      <c r="H182" s="218" t="s">
        <v>15960</v>
      </c>
      <c r="I182" s="219" t="s">
        <v>1788</v>
      </c>
      <c r="J182" s="219" t="s">
        <v>4377</v>
      </c>
      <c r="K182" s="273"/>
      <c r="L182" s="273"/>
      <c r="M182" s="273"/>
      <c r="N182" s="273" t="s">
        <v>15961</v>
      </c>
      <c r="O182" s="273" t="s">
        <v>15962</v>
      </c>
      <c r="P182" s="220"/>
      <c r="Q182" s="274" t="s">
        <v>15513</v>
      </c>
      <c r="R182" s="217" t="str">
        <f ca="1">IF(ISERROR($V182),"",OFFSET('Smelter Look-up'!$C$4,$V182-4,0)&amp;"")</f>
        <v>H.C. Starck Hermsdorf GmbH</v>
      </c>
      <c r="S182" s="225" t="str">
        <f t="shared" ca="1" si="24"/>
        <v>DE</v>
      </c>
      <c r="T182" s="225" t="str">
        <f ca="1">IF(B182="","",IF(ISERROR(MATCH($J182,SorP!$B$1:$B$6230,0)),"",INDIRECT("'SorP'!$A$"&amp;MATCH($J182,SorP!$B$1:$B$6230,0))))</f>
        <v>DE-TH</v>
      </c>
      <c r="U182" s="241"/>
      <c r="V182" s="275">
        <f>IF(C182="",NA(),MATCH($B182&amp;$C182,'Smelter Look-up'!$J:$J,0))</f>
        <v>308</v>
      </c>
      <c r="W182" s="276"/>
      <c r="X182" s="276">
        <f t="shared" si="25"/>
        <v>0</v>
      </c>
      <c r="Y182" s="276"/>
      <c r="Z182" s="276"/>
      <c r="AB182" s="278" t="str">
        <f t="shared" si="26"/>
        <v>TantalumH.C. Starck Hermsdorf GmbH</v>
      </c>
    </row>
    <row r="183" spans="1:28" s="277" customFormat="1" ht="378">
      <c r="A183" s="216" t="s">
        <v>1440</v>
      </c>
      <c r="B183" s="217" t="s">
        <v>1155</v>
      </c>
      <c r="C183" s="221" t="s">
        <v>2673</v>
      </c>
      <c r="D183" s="283" t="s">
        <v>2673</v>
      </c>
      <c r="E183" s="217" t="s">
        <v>1124</v>
      </c>
      <c r="F183" s="217" t="str">
        <f ca="1">IF(ISERROR($V183),"",OFFSET('Smelter Look-up'!$E$4,$V183-4,0))</f>
        <v>CID002545</v>
      </c>
      <c r="G183" s="217" t="str">
        <f ca="1">IF(C183=$X$4,"Enter smelter details",IF(ISERROR($V183),"",OFFSET('Smelter Look-up'!$F$4,$V183-4,0)))</f>
        <v>RMI</v>
      </c>
      <c r="H183" s="218" t="s">
        <v>15963</v>
      </c>
      <c r="I183" s="219" t="s">
        <v>1786</v>
      </c>
      <c r="J183" s="219" t="s">
        <v>4399</v>
      </c>
      <c r="K183" s="273"/>
      <c r="L183" s="273"/>
      <c r="M183" s="273"/>
      <c r="N183" s="273" t="s">
        <v>15964</v>
      </c>
      <c r="O183" s="273" t="s">
        <v>15965</v>
      </c>
      <c r="P183" s="220"/>
      <c r="Q183" s="274" t="s">
        <v>15513</v>
      </c>
      <c r="R183" s="217" t="str">
        <f ca="1">IF(ISERROR($V183),"",OFFSET('Smelter Look-up'!$C$4,$V183-4,0)&amp;"")</f>
        <v>H.C. Starck Tantalum and Niobium GmbH</v>
      </c>
      <c r="S183" s="225" t="str">
        <f t="shared" ca="1" si="24"/>
        <v>DE</v>
      </c>
      <c r="T183" s="225" t="str">
        <f ca="1">IF(B183="","",IF(ISERROR(MATCH($J183,SorP!$B$1:$B$6230,0)),"",INDIRECT("'SorP'!$A$"&amp;MATCH($J183,SorP!$B$1:$B$6230,0))))</f>
        <v>DE-NI</v>
      </c>
      <c r="U183" s="241"/>
      <c r="V183" s="275">
        <f>IF(C183="",NA(),MATCH($B183&amp;$C183,'Smelter Look-up'!$J:$J,0))</f>
        <v>312</v>
      </c>
      <c r="W183" s="276"/>
      <c r="X183" s="276">
        <f t="shared" si="25"/>
        <v>0</v>
      </c>
      <c r="Y183" s="276"/>
      <c r="Z183" s="276"/>
      <c r="AB183" s="278" t="str">
        <f t="shared" si="26"/>
        <v>TantalumH.C. Starck Tantalum and Niobium GmbH</v>
      </c>
    </row>
    <row r="184" spans="1:28" s="277" customFormat="1" ht="403.2">
      <c r="A184" s="216" t="s">
        <v>1439</v>
      </c>
      <c r="B184" s="217" t="s">
        <v>1155</v>
      </c>
      <c r="C184" s="221" t="s">
        <v>1438</v>
      </c>
      <c r="D184" s="283" t="s">
        <v>1438</v>
      </c>
      <c r="E184" s="217" t="s">
        <v>911</v>
      </c>
      <c r="F184" s="217" t="str">
        <f ca="1">IF(ISERROR($V184),"",OFFSET('Smelter Look-up'!$E$4,$V184-4,0))</f>
        <v>CID002544</v>
      </c>
      <c r="G184" s="217" t="str">
        <f ca="1">IF(C184=$X$4,"Enter smelter details",IF(ISERROR($V184),"",OFFSET('Smelter Look-up'!$F$4,$V184-4,0)))</f>
        <v>RMI</v>
      </c>
      <c r="H184" s="218" t="s">
        <v>15966</v>
      </c>
      <c r="I184" s="219" t="s">
        <v>1784</v>
      </c>
      <c r="J184" s="219" t="s">
        <v>1785</v>
      </c>
      <c r="K184" s="273"/>
      <c r="L184" s="273"/>
      <c r="M184" s="273"/>
      <c r="N184" s="273" t="s">
        <v>15967</v>
      </c>
      <c r="O184" s="273" t="s">
        <v>15968</v>
      </c>
      <c r="P184" s="220"/>
      <c r="Q184" s="274" t="s">
        <v>15513</v>
      </c>
      <c r="R184" s="217" t="str">
        <f ca="1">IF(ISERROR($V184),"",OFFSET('Smelter Look-up'!$C$4,$V184-4,0)&amp;"")</f>
        <v>H.C. Starck Co., Ltd.</v>
      </c>
      <c r="S184" s="225" t="str">
        <f t="shared" ca="1" si="24"/>
        <v>TH</v>
      </c>
      <c r="T184" s="225" t="str">
        <f ca="1">IF(B184="","",IF(ISERROR(MATCH($J184,SorP!$B$1:$B$6230,0)),"",INDIRECT("'SorP'!$A$"&amp;MATCH($J184,SorP!$B$1:$B$6230,0))))</f>
        <v>TH-21</v>
      </c>
      <c r="U184" s="241"/>
      <c r="V184" s="275">
        <f>IF(C184="",NA(),MATCH($B184&amp;$C184,'Smelter Look-up'!$J:$J,0))</f>
        <v>307</v>
      </c>
      <c r="W184" s="276"/>
      <c r="X184" s="276">
        <f t="shared" si="25"/>
        <v>0</v>
      </c>
      <c r="Y184" s="276"/>
      <c r="Z184" s="276"/>
      <c r="AB184" s="278" t="str">
        <f t="shared" si="26"/>
        <v>TantalumH.C. Starck Co., Ltd.</v>
      </c>
    </row>
    <row r="185" spans="1:28" s="277" customFormat="1" ht="264.60000000000002">
      <c r="A185" s="216" t="s">
        <v>1449</v>
      </c>
      <c r="B185" s="217" t="s">
        <v>1155</v>
      </c>
      <c r="C185" s="221" t="s">
        <v>1448</v>
      </c>
      <c r="D185" s="283" t="s">
        <v>1448</v>
      </c>
      <c r="E185" s="217" t="s">
        <v>1136</v>
      </c>
      <c r="F185" s="217" t="str">
        <f ca="1">IF(ISERROR($V185),"",OFFSET('Smelter Look-up'!$E$4,$V185-4,0))</f>
        <v>CID002539</v>
      </c>
      <c r="G185" s="217" t="str">
        <f ca="1">IF(C185=$X$4,"Enter smelter details",IF(ISERROR($V185),"",OFFSET('Smelter Look-up'!$F$4,$V185-4,0)))</f>
        <v>RMI</v>
      </c>
      <c r="H185" s="218" t="s">
        <v>15969</v>
      </c>
      <c r="I185" s="219" t="s">
        <v>1782</v>
      </c>
      <c r="J185" s="219" t="s">
        <v>1783</v>
      </c>
      <c r="K185" s="273"/>
      <c r="L185" s="273"/>
      <c r="M185" s="273"/>
      <c r="N185" s="273" t="s">
        <v>15970</v>
      </c>
      <c r="O185" s="273" t="s">
        <v>15971</v>
      </c>
      <c r="P185" s="220"/>
      <c r="Q185" s="274" t="s">
        <v>15513</v>
      </c>
      <c r="R185" s="217" t="str">
        <f ca="1">IF(ISERROR($V185),"",OFFSET('Smelter Look-up'!$C$4,$V185-4,0)&amp;"")</f>
        <v>KEMET Blue Metals</v>
      </c>
      <c r="S185" s="225" t="str">
        <f t="shared" ca="1" si="24"/>
        <v>MX</v>
      </c>
      <c r="T185" s="225" t="str">
        <f ca="1">IF(B185="","",IF(ISERROR(MATCH($J185,SorP!$B$1:$B$6230,0)),"",INDIRECT("'SorP'!$A$"&amp;MATCH($J185,SorP!$B$1:$B$6230,0))))</f>
        <v>MX-TAM</v>
      </c>
      <c r="U185" s="241"/>
      <c r="V185" s="275">
        <f>IF(C185="",NA(),MATCH($B185&amp;$C185,'Smelter Look-up'!$J:$J,0))</f>
        <v>320</v>
      </c>
      <c r="W185" s="276"/>
      <c r="X185" s="276">
        <f t="shared" si="25"/>
        <v>0</v>
      </c>
      <c r="Y185" s="276"/>
      <c r="Z185" s="276"/>
      <c r="AB185" s="278" t="str">
        <f t="shared" si="26"/>
        <v>TantalumKEMET Blue Metals</v>
      </c>
    </row>
    <row r="186" spans="1:28" s="277" customFormat="1" ht="126">
      <c r="A186" s="216" t="s">
        <v>1421</v>
      </c>
      <c r="B186" s="217" t="s">
        <v>1155</v>
      </c>
      <c r="C186" s="221" t="s">
        <v>2279</v>
      </c>
      <c r="D186" s="283" t="s">
        <v>2279</v>
      </c>
      <c r="E186" s="217" t="s">
        <v>1123</v>
      </c>
      <c r="F186" s="217" t="str">
        <f ca="1">IF(ISERROR($V186),"",OFFSET('Smelter Look-up'!$E$4,$V186-4,0))</f>
        <v>CID002512</v>
      </c>
      <c r="G186" s="217" t="str">
        <f ca="1">IF(C186=$X$4,"Enter smelter details",IF(ISERROR($V186),"",OFFSET('Smelter Look-up'!$F$4,$V186-4,0)))</f>
        <v>RMI</v>
      </c>
      <c r="H186" s="218" t="s">
        <v>15972</v>
      </c>
      <c r="I186" s="219" t="s">
        <v>1781</v>
      </c>
      <c r="J186" s="219" t="s">
        <v>13966</v>
      </c>
      <c r="K186" s="273"/>
      <c r="L186" s="273"/>
      <c r="M186" s="273"/>
      <c r="N186" s="273" t="s">
        <v>15538</v>
      </c>
      <c r="O186" s="273" t="s">
        <v>15973</v>
      </c>
      <c r="P186" s="220"/>
      <c r="Q186" s="274" t="s">
        <v>15513</v>
      </c>
      <c r="R186" s="217" t="str">
        <f ca="1">IF(ISERROR($V186),"",OFFSET('Smelter Look-up'!$C$4,$V186-4,0)&amp;"")</f>
        <v>Jiangxi Dinghai Tantalum &amp; Niobium Co., Ltd.</v>
      </c>
      <c r="S186" s="225" t="str">
        <f t="shared" ca="1" si="24"/>
        <v>CN</v>
      </c>
      <c r="T186" s="225" t="str">
        <f ca="1">IF(B186="","",IF(ISERROR(MATCH($J186,SorP!$B$1:$B$6230,0)),"",INDIRECT("'SorP'!$A$"&amp;MATCH($J186,SorP!$B$1:$B$6230,0))))</f>
        <v>CN-JX</v>
      </c>
      <c r="U186" s="241"/>
      <c r="V186" s="275">
        <f>IF(C186="",NA(),MATCH($B186&amp;$C186,'Smelter Look-up'!$J:$J,0))</f>
        <v>314</v>
      </c>
      <c r="W186" s="276"/>
      <c r="X186" s="276">
        <f t="shared" si="25"/>
        <v>0</v>
      </c>
      <c r="Y186" s="276"/>
      <c r="Z186" s="276"/>
      <c r="AB186" s="278" t="str">
        <f t="shared" si="26"/>
        <v>TantalumJiangxi Dinghai Tantalum &amp; Niobium Co., Ltd.</v>
      </c>
    </row>
    <row r="187" spans="1:28" s="277" customFormat="1" ht="138.6">
      <c r="A187" s="216" t="s">
        <v>1423</v>
      </c>
      <c r="B187" s="217" t="s">
        <v>1155</v>
      </c>
      <c r="C187" s="221" t="s">
        <v>2277</v>
      </c>
      <c r="D187" s="283" t="s">
        <v>2277</v>
      </c>
      <c r="E187" s="217" t="s">
        <v>1123</v>
      </c>
      <c r="F187" s="217" t="str">
        <f ca="1">IF(ISERROR($V187),"",OFFSET('Smelter Look-up'!$E$4,$V187-4,0))</f>
        <v>CID002508</v>
      </c>
      <c r="G187" s="217" t="str">
        <f ca="1">IF(C187=$X$4,"Enter smelter details",IF(ISERROR($V187),"",OFFSET('Smelter Look-up'!$F$4,$V187-4,0)))</f>
        <v>RMI</v>
      </c>
      <c r="H187" s="218" t="s">
        <v>15974</v>
      </c>
      <c r="I187" s="219" t="s">
        <v>1780</v>
      </c>
      <c r="J187" s="219" t="s">
        <v>13971</v>
      </c>
      <c r="K187" s="273"/>
      <c r="L187" s="273"/>
      <c r="M187" s="273"/>
      <c r="N187" s="273" t="s">
        <v>15975</v>
      </c>
      <c r="O187" s="273" t="s">
        <v>15976</v>
      </c>
      <c r="P187" s="220"/>
      <c r="Q187" s="274" t="s">
        <v>15513</v>
      </c>
      <c r="R187" s="217" t="str">
        <f ca="1">IF(ISERROR($V187),"",OFFSET('Smelter Look-up'!$C$4,$V187-4,0)&amp;"")</f>
        <v>XinXing HaoRong Electronic Material Co., Ltd.</v>
      </c>
      <c r="S187" s="225" t="str">
        <f t="shared" ca="1" si="24"/>
        <v>CN</v>
      </c>
      <c r="T187" s="225" t="str">
        <f ca="1">IF(B187="","",IF(ISERROR(MATCH($J187,SorP!$B$1:$B$6230,0)),"",INDIRECT("'SorP'!$A$"&amp;MATCH($J187,SorP!$B$1:$B$6230,0))))</f>
        <v>CN-GD</v>
      </c>
      <c r="U187" s="241"/>
      <c r="V187" s="275">
        <f>IF(C187="",NA(),MATCH($B187&amp;$C187,'Smelter Look-up'!$J:$J,0))</f>
        <v>350</v>
      </c>
      <c r="W187" s="276"/>
      <c r="X187" s="276">
        <f t="shared" si="25"/>
        <v>0</v>
      </c>
      <c r="Y187" s="276"/>
      <c r="Z187" s="276"/>
      <c r="AB187" s="278" t="str">
        <f t="shared" si="26"/>
        <v>TantalumXinXing HaoRong Electronic Material Co., Ltd.</v>
      </c>
    </row>
    <row r="188" spans="1:28" s="277" customFormat="1" ht="264.60000000000002">
      <c r="A188" s="216" t="s">
        <v>1422</v>
      </c>
      <c r="B188" s="217" t="s">
        <v>1155</v>
      </c>
      <c r="C188" s="221" t="s">
        <v>2276</v>
      </c>
      <c r="D188" s="283" t="s">
        <v>2276</v>
      </c>
      <c r="E188" s="217" t="s">
        <v>1123</v>
      </c>
      <c r="F188" s="217" t="str">
        <f ca="1">IF(ISERROR($V188),"",OFFSET('Smelter Look-up'!$E$4,$V188-4,0))</f>
        <v>CID002506</v>
      </c>
      <c r="G188" s="217" t="str">
        <f ca="1">IF(C188=$X$4,"Enter smelter details",IF(ISERROR($V188),"",OFFSET('Smelter Look-up'!$F$4,$V188-4,0)))</f>
        <v>RMI</v>
      </c>
      <c r="H188" s="218" t="s">
        <v>15977</v>
      </c>
      <c r="I188" s="219" t="s">
        <v>1756</v>
      </c>
      <c r="J188" s="219" t="s">
        <v>13966</v>
      </c>
      <c r="K188" s="273"/>
      <c r="L188" s="273"/>
      <c r="M188" s="273"/>
      <c r="N188" s="273" t="s">
        <v>15538</v>
      </c>
      <c r="O188" s="273" t="s">
        <v>15978</v>
      </c>
      <c r="P188" s="220"/>
      <c r="Q188" s="274" t="s">
        <v>15513</v>
      </c>
      <c r="R188" s="217" t="str">
        <f ca="1">IF(ISERROR($V188),"",OFFSET('Smelter Look-up'!$C$4,$V188-4,0)&amp;"")</f>
        <v>Jiujiang Zhongao Tantalum &amp; Niobium Co., Ltd.</v>
      </c>
      <c r="S188" s="225" t="str">
        <f t="shared" ca="1" si="24"/>
        <v>CN</v>
      </c>
      <c r="T188" s="225" t="str">
        <f ca="1">IF(B188="","",IF(ISERROR(MATCH($J188,SorP!$B$1:$B$6230,0)),"",INDIRECT("'SorP'!$A$"&amp;MATCH($J188,SorP!$B$1:$B$6230,0))))</f>
        <v>CN-JX</v>
      </c>
      <c r="U188" s="241"/>
      <c r="V188" s="275">
        <f>IF(C188="",NA(),MATCH($B188&amp;$C188,'Smelter Look-up'!$J:$J,0))</f>
        <v>319</v>
      </c>
      <c r="W188" s="276"/>
      <c r="X188" s="276">
        <f t="shared" si="25"/>
        <v>0</v>
      </c>
      <c r="Y188" s="276"/>
      <c r="Z188" s="276"/>
      <c r="AB188" s="278" t="str">
        <f t="shared" si="26"/>
        <v>TantalumJiujiang Zhongao Tantalum &amp; Niobium Co., Ltd.</v>
      </c>
    </row>
    <row r="189" spans="1:28" s="277" customFormat="1" ht="289.8">
      <c r="A189" s="216" t="s">
        <v>1420</v>
      </c>
      <c r="B189" s="217" t="s">
        <v>1155</v>
      </c>
      <c r="C189" s="221" t="s">
        <v>2275</v>
      </c>
      <c r="D189" s="283" t="s">
        <v>2275</v>
      </c>
      <c r="E189" s="217" t="s">
        <v>1123</v>
      </c>
      <c r="F189" s="217" t="str">
        <f ca="1">IF(ISERROR($V189),"",OFFSET('Smelter Look-up'!$E$4,$V189-4,0))</f>
        <v>CID002505</v>
      </c>
      <c r="G189" s="217" t="str">
        <f ca="1">IF(C189=$X$4,"Enter smelter details",IF(ISERROR($V189),"",OFFSET('Smelter Look-up'!$F$4,$V189-4,0)))</f>
        <v>RMI</v>
      </c>
      <c r="H189" s="218" t="s">
        <v>15979</v>
      </c>
      <c r="I189" s="219" t="s">
        <v>1769</v>
      </c>
      <c r="J189" s="219" t="s">
        <v>13970</v>
      </c>
      <c r="K189" s="273"/>
      <c r="L189" s="273"/>
      <c r="M189" s="273"/>
      <c r="N189" s="273" t="s">
        <v>15980</v>
      </c>
      <c r="O189" s="273" t="s">
        <v>15981</v>
      </c>
      <c r="P189" s="220"/>
      <c r="Q189" s="274" t="s">
        <v>15513</v>
      </c>
      <c r="R189" s="217" t="str">
        <f ca="1">IF(ISERROR($V189),"",OFFSET('Smelter Look-up'!$C$4,$V189-4,0)&amp;"")</f>
        <v>FIR Metals &amp; Resource Ltd.</v>
      </c>
      <c r="S189" s="225" t="str">
        <f t="shared" ca="1" si="24"/>
        <v>CN</v>
      </c>
      <c r="T189" s="225" t="str">
        <f ca="1">IF(B189="","",IF(ISERROR(MATCH($J189,SorP!$B$1:$B$6230,0)),"",INDIRECT("'SorP'!$A$"&amp;MATCH($J189,SorP!$B$1:$B$6230,0))))</f>
        <v>CN-HN</v>
      </c>
      <c r="U189" s="241"/>
      <c r="V189" s="275">
        <f>IF(C189="",NA(),MATCH($B189&amp;$C189,'Smelter Look-up'!$J:$J,0))</f>
        <v>303</v>
      </c>
      <c r="W189" s="276"/>
      <c r="X189" s="276">
        <f t="shared" si="25"/>
        <v>0</v>
      </c>
      <c r="Y189" s="276"/>
      <c r="Z189" s="276"/>
      <c r="AB189" s="278" t="str">
        <f t="shared" si="26"/>
        <v>TantalumFIR Metals &amp; Resource Ltd.</v>
      </c>
    </row>
    <row r="190" spans="1:28" s="277" customFormat="1" ht="189">
      <c r="A190" s="216" t="s">
        <v>1419</v>
      </c>
      <c r="B190" s="217" t="s">
        <v>1155</v>
      </c>
      <c r="C190" s="221" t="s">
        <v>1418</v>
      </c>
      <c r="D190" s="283" t="s">
        <v>1418</v>
      </c>
      <c r="E190" s="217" t="s">
        <v>2576</v>
      </c>
      <c r="F190" s="217" t="str">
        <f ca="1">IF(ISERROR($V190),"",OFFSET('Smelter Look-up'!$E$4,$V190-4,0))</f>
        <v>CID002504</v>
      </c>
      <c r="G190" s="217" t="str">
        <f ca="1">IF(C190=$X$4,"Enter smelter details",IF(ISERROR($V190),"",OFFSET('Smelter Look-up'!$F$4,$V190-4,0)))</f>
        <v>RMI</v>
      </c>
      <c r="H190" s="218" t="s">
        <v>15982</v>
      </c>
      <c r="I190" s="219" t="s">
        <v>1778</v>
      </c>
      <c r="J190" s="219" t="s">
        <v>1779</v>
      </c>
      <c r="K190" s="273"/>
      <c r="L190" s="273"/>
      <c r="M190" s="273"/>
      <c r="N190" s="273" t="s">
        <v>15983</v>
      </c>
      <c r="O190" s="273" t="s">
        <v>15984</v>
      </c>
      <c r="P190" s="220"/>
      <c r="Q190" s="274" t="s">
        <v>15513</v>
      </c>
      <c r="R190" s="217" t="str">
        <f ca="1">IF(ISERROR($V190),"",OFFSET('Smelter Look-up'!$C$4,$V190-4,0)&amp;"")</f>
        <v>D Block Metals, LLC</v>
      </c>
      <c r="S190" s="225" t="str">
        <f t="shared" ca="1" si="24"/>
        <v>US</v>
      </c>
      <c r="T190" s="225" t="str">
        <f ca="1">IF(B190="","",IF(ISERROR(MATCH($J190,SorP!$B$1:$B$6230,0)),"",INDIRECT("'SorP'!$A$"&amp;MATCH($J190,SorP!$B$1:$B$6230,0))))</f>
        <v>US-NC</v>
      </c>
      <c r="U190" s="241"/>
      <c r="V190" s="275">
        <f>IF(C190="",NA(),MATCH($B190&amp;$C190,'Smelter Look-up'!$J:$J,0))</f>
        <v>299</v>
      </c>
      <c r="W190" s="276"/>
      <c r="X190" s="276">
        <f t="shared" si="25"/>
        <v>0</v>
      </c>
      <c r="Y190" s="276"/>
      <c r="Z190" s="276"/>
      <c r="AB190" s="278" t="str">
        <f t="shared" si="26"/>
        <v>TantalumD Block Metals, LLC</v>
      </c>
    </row>
    <row r="191" spans="1:28" s="277" customFormat="1" ht="302.39999999999998">
      <c r="A191" s="216" t="s">
        <v>406</v>
      </c>
      <c r="B191" s="217" t="s">
        <v>1155</v>
      </c>
      <c r="C191" s="221" t="s">
        <v>4</v>
      </c>
      <c r="D191" s="283" t="s">
        <v>4</v>
      </c>
      <c r="E191" s="217" t="s">
        <v>1123</v>
      </c>
      <c r="F191" s="217" t="str">
        <f ca="1">IF(ISERROR($V191),"",OFFSET('Smelter Look-up'!$E$4,$V191-4,0))</f>
        <v>CID002492</v>
      </c>
      <c r="G191" s="217" t="str">
        <f ca="1">IF(C191=$X$4,"Enter smelter details",IF(ISERROR($V191),"",OFFSET('Smelter Look-up'!$F$4,$V191-4,0)))</f>
        <v>RMI</v>
      </c>
      <c r="H191" s="218" t="s">
        <v>15985</v>
      </c>
      <c r="I191" s="219" t="s">
        <v>1777</v>
      </c>
      <c r="J191" s="219" t="s">
        <v>13970</v>
      </c>
      <c r="K191" s="273"/>
      <c r="L191" s="273"/>
      <c r="M191" s="273"/>
      <c r="N191" s="273" t="s">
        <v>15986</v>
      </c>
      <c r="O191" s="273" t="s">
        <v>15987</v>
      </c>
      <c r="P191" s="220"/>
      <c r="Q191" s="274" t="s">
        <v>15513</v>
      </c>
      <c r="R191" s="217" t="str">
        <f ca="1">IF(ISERROR($V191),"",OFFSET('Smelter Look-up'!$C$4,$V191-4,0)&amp;"")</f>
        <v>Hengyang King Xing Lifeng New Materials Co., Ltd.</v>
      </c>
      <c r="S191" s="225" t="str">
        <f t="shared" ca="1" si="24"/>
        <v>CN</v>
      </c>
      <c r="T191" s="225" t="str">
        <f ca="1">IF(B191="","",IF(ISERROR(MATCH($J191,SorP!$B$1:$B$6230,0)),"",INDIRECT("'SorP'!$A$"&amp;MATCH($J191,SorP!$B$1:$B$6230,0))))</f>
        <v>CN-HN</v>
      </c>
      <c r="U191" s="241"/>
      <c r="V191" s="275">
        <f>IF(C191="",NA(),MATCH($B191&amp;$C191,'Smelter Look-up'!$J:$J,0))</f>
        <v>313</v>
      </c>
      <c r="W191" s="276"/>
      <c r="X191" s="276">
        <f t="shared" si="25"/>
        <v>0</v>
      </c>
      <c r="Y191" s="276"/>
      <c r="Z191" s="276"/>
      <c r="AB191" s="278" t="str">
        <f t="shared" si="26"/>
        <v>TantalumHengyang King Xing Lifeng New Materials Co., Ltd.</v>
      </c>
    </row>
    <row r="192" spans="1:28" s="277" customFormat="1" ht="390.6">
      <c r="A192" s="216" t="s">
        <v>782</v>
      </c>
      <c r="B192" s="217" t="s">
        <v>1155</v>
      </c>
      <c r="C192" s="221" t="s">
        <v>1775</v>
      </c>
      <c r="D192" s="283" t="s">
        <v>1775</v>
      </c>
      <c r="E192" s="217" t="s">
        <v>1132</v>
      </c>
      <c r="F192" s="217" t="str">
        <f ca="1">IF(ISERROR($V192),"",OFFSET('Smelter Look-up'!$E$4,$V192-4,0))</f>
        <v>CID001969</v>
      </c>
      <c r="G192" s="217" t="str">
        <f ca="1">IF(C192=$X$4,"Enter smelter details",IF(ISERROR($V192),"",OFFSET('Smelter Look-up'!$F$4,$V192-4,0)))</f>
        <v>RMI</v>
      </c>
      <c r="H192" s="218" t="s">
        <v>15791</v>
      </c>
      <c r="I192" s="219" t="s">
        <v>1636</v>
      </c>
      <c r="J192" s="219" t="s">
        <v>7279</v>
      </c>
      <c r="K192" s="273"/>
      <c r="L192" s="273"/>
      <c r="M192" s="273"/>
      <c r="N192" s="273" t="s">
        <v>15988</v>
      </c>
      <c r="O192" s="273" t="s">
        <v>15989</v>
      </c>
      <c r="P192" s="220"/>
      <c r="Q192" s="274" t="s">
        <v>15513</v>
      </c>
      <c r="R192" s="217" t="str">
        <f ca="1">IF(ISERROR($V192),"",OFFSET('Smelter Look-up'!$C$4,$V192-4,0)&amp;"")</f>
        <v>Ulba Metallurgical Plant JSC</v>
      </c>
      <c r="S192" s="225" t="str">
        <f t="shared" ca="1" si="24"/>
        <v>KZ</v>
      </c>
      <c r="T192" s="225" t="str">
        <f ca="1">IF(B192="","",IF(ISERROR(MATCH($J192,SorP!$B$1:$B$6230,0)),"",INDIRECT("'SorP'!$A$"&amp;MATCH($J192,SorP!$B$1:$B$6230,0))))</f>
        <v>KZ-KAR</v>
      </c>
      <c r="U192" s="241"/>
      <c r="V192" s="275">
        <f>IF(C192="",NA(),MATCH($B192&amp;$C192,'Smelter Look-up'!$J:$J,0))</f>
        <v>349</v>
      </c>
      <c r="W192" s="276"/>
      <c r="X192" s="276">
        <f t="shared" si="25"/>
        <v>0</v>
      </c>
      <c r="Y192" s="276"/>
      <c r="Z192" s="276"/>
      <c r="AB192" s="278" t="str">
        <f t="shared" si="26"/>
        <v>TantalumUlba Metallurgical Plant JSC</v>
      </c>
    </row>
    <row r="193" spans="1:28" s="277" customFormat="1" ht="289.8">
      <c r="A193" s="216" t="s">
        <v>781</v>
      </c>
      <c r="B193" s="217" t="s">
        <v>1155</v>
      </c>
      <c r="C193" s="221" t="s">
        <v>1772</v>
      </c>
      <c r="D193" s="283" t="s">
        <v>1772</v>
      </c>
      <c r="E193" s="217" t="s">
        <v>2576</v>
      </c>
      <c r="F193" s="217" t="str">
        <f ca="1">IF(ISERROR($V193),"",OFFSET('Smelter Look-up'!$E$4,$V193-4,0))</f>
        <v>CID001891</v>
      </c>
      <c r="G193" s="217" t="str">
        <f ca="1">IF(C193=$X$4,"Enter smelter details",IF(ISERROR($V193),"",OFFSET('Smelter Look-up'!$F$4,$V193-4,0)))</f>
        <v>RMI</v>
      </c>
      <c r="H193" s="218" t="s">
        <v>15990</v>
      </c>
      <c r="I193" s="219" t="s">
        <v>1773</v>
      </c>
      <c r="J193" s="219" t="s">
        <v>1774</v>
      </c>
      <c r="K193" s="273"/>
      <c r="L193" s="273"/>
      <c r="M193" s="273"/>
      <c r="N193" s="273" t="s">
        <v>15991</v>
      </c>
      <c r="O193" s="273" t="s">
        <v>15992</v>
      </c>
      <c r="P193" s="220"/>
      <c r="Q193" s="274" t="s">
        <v>15513</v>
      </c>
      <c r="R193" s="217" t="str">
        <f ca="1">IF(ISERROR($V193),"",OFFSET('Smelter Look-up'!$C$4,$V193-4,0)&amp;"")</f>
        <v>Telex Metals</v>
      </c>
      <c r="S193" s="225" t="str">
        <f t="shared" ca="1" si="24"/>
        <v>US</v>
      </c>
      <c r="T193" s="225" t="str">
        <f ca="1">IF(B193="","",IF(ISERROR(MATCH($J193,SorP!$B$1:$B$6230,0)),"",INDIRECT("'SorP'!$A$"&amp;MATCH($J193,SorP!$B$1:$B$6230,0))))</f>
        <v>US-PA</v>
      </c>
      <c r="U193" s="241"/>
      <c r="V193" s="275">
        <f>IF(C193="",NA(),MATCH($B193&amp;$C193,'Smelter Look-up'!$J:$J,0))</f>
        <v>347</v>
      </c>
      <c r="W193" s="276"/>
      <c r="X193" s="276">
        <f t="shared" si="25"/>
        <v>0</v>
      </c>
      <c r="Y193" s="276"/>
      <c r="Z193" s="276"/>
      <c r="AB193" s="278" t="str">
        <f t="shared" si="26"/>
        <v>TantalumTelex Metals</v>
      </c>
    </row>
    <row r="194" spans="1:28" s="277" customFormat="1" ht="315">
      <c r="A194" s="216" t="s">
        <v>780</v>
      </c>
      <c r="B194" s="217" t="s">
        <v>1155</v>
      </c>
      <c r="C194" s="221" t="s">
        <v>2589</v>
      </c>
      <c r="D194" s="283" t="s">
        <v>2589</v>
      </c>
      <c r="E194" s="217" t="s">
        <v>1131</v>
      </c>
      <c r="F194" s="217" t="str">
        <f ca="1">IF(ISERROR($V194),"",OFFSET('Smelter Look-up'!$E$4,$V194-4,0))</f>
        <v>CID001869</v>
      </c>
      <c r="G194" s="217" t="str">
        <f ca="1">IF(C194=$X$4,"Enter smelter details",IF(ISERROR($V194),"",OFFSET('Smelter Look-up'!$F$4,$V194-4,0)))</f>
        <v>RMI</v>
      </c>
      <c r="H194" s="218" t="s">
        <v>15993</v>
      </c>
      <c r="I194" s="219" t="s">
        <v>1771</v>
      </c>
      <c r="J194" s="219" t="s">
        <v>1581</v>
      </c>
      <c r="K194" s="273"/>
      <c r="L194" s="273"/>
      <c r="M194" s="273"/>
      <c r="N194" s="273" t="s">
        <v>15994</v>
      </c>
      <c r="O194" s="273" t="s">
        <v>15995</v>
      </c>
      <c r="P194" s="220"/>
      <c r="Q194" s="274" t="s">
        <v>15513</v>
      </c>
      <c r="R194" s="217" t="str">
        <f ca="1">IF(ISERROR($V194),"",OFFSET('Smelter Look-up'!$C$4,$V194-4,0)&amp;"")</f>
        <v>Taki Chemical Co., Ltd.</v>
      </c>
      <c r="S194" s="225" t="str">
        <f t="shared" ca="1" si="24"/>
        <v>JP</v>
      </c>
      <c r="T194" s="225" t="str">
        <f ca="1">IF(B194="","",IF(ISERROR(MATCH($J194,SorP!$B$1:$B$6230,0)),"",INDIRECT("'SorP'!$A$"&amp;MATCH($J194,SorP!$B$1:$B$6230,0))))</f>
        <v>JP-28</v>
      </c>
      <c r="U194" s="241"/>
      <c r="V194" s="275">
        <f>IF(C194="",NA(),MATCH($B194&amp;$C194,'Smelter Look-up'!$J:$J,0))</f>
        <v>345</v>
      </c>
      <c r="W194" s="276"/>
      <c r="X194" s="276">
        <f t="shared" si="25"/>
        <v>0</v>
      </c>
      <c r="Y194" s="276"/>
      <c r="Z194" s="276"/>
      <c r="AB194" s="278" t="str">
        <f t="shared" si="26"/>
        <v>TantalumTaki Chemical Co., Ltd.</v>
      </c>
    </row>
    <row r="195" spans="1:28" s="277" customFormat="1" ht="252">
      <c r="A195" s="216" t="s">
        <v>779</v>
      </c>
      <c r="B195" s="217" t="s">
        <v>1155</v>
      </c>
      <c r="C195" s="221" t="s">
        <v>1401</v>
      </c>
      <c r="D195" s="283" t="s">
        <v>1401</v>
      </c>
      <c r="E195" s="217" t="s">
        <v>906</v>
      </c>
      <c r="F195" s="217" t="str">
        <f ca="1">IF(ISERROR($V195),"",OFFSET('Smelter Look-up'!$E$4,$V195-4,0))</f>
        <v>CID001769</v>
      </c>
      <c r="G195" s="217" t="str">
        <f ca="1">IF(C195=$X$4,"Enter smelter details",IF(ISERROR($V195),"",OFFSET('Smelter Look-up'!$F$4,$V195-4,0)))</f>
        <v>RMI</v>
      </c>
      <c r="H195" s="218" t="s">
        <v>15996</v>
      </c>
      <c r="I195" s="219" t="s">
        <v>1770</v>
      </c>
      <c r="J195" s="219" t="s">
        <v>10333</v>
      </c>
      <c r="K195" s="273"/>
      <c r="L195" s="273"/>
      <c r="M195" s="273"/>
      <c r="N195" s="273" t="s">
        <v>15997</v>
      </c>
      <c r="O195" s="273" t="s">
        <v>15998</v>
      </c>
      <c r="P195" s="220"/>
      <c r="Q195" s="274" t="s">
        <v>15513</v>
      </c>
      <c r="R195" s="217" t="str">
        <f ca="1">IF(ISERROR($V195),"",OFFSET('Smelter Look-up'!$C$4,$V195-4,0)&amp;"")</f>
        <v>Solikamsk Magnesium Works OAO</v>
      </c>
      <c r="S195" s="225" t="str">
        <f t="shared" ca="1" si="24"/>
        <v>RU</v>
      </c>
      <c r="T195" s="225" t="str">
        <f ca="1">IF(B195="","",IF(ISERROR(MATCH($J195,SorP!$B$1:$B$6230,0)),"",INDIRECT("'SorP'!$A$"&amp;MATCH($J195,SorP!$B$1:$B$6230,0))))</f>
        <v>RU-PER</v>
      </c>
      <c r="U195" s="241"/>
      <c r="V195" s="275">
        <f>IF(C195="",NA(),MATCH($B195&amp;$C195,'Smelter Look-up'!$J:$J,0))</f>
        <v>343</v>
      </c>
      <c r="W195" s="276"/>
      <c r="X195" s="276">
        <f t="shared" si="25"/>
        <v>0</v>
      </c>
      <c r="Y195" s="276"/>
      <c r="Z195" s="276"/>
      <c r="AB195" s="278" t="str">
        <f t="shared" si="26"/>
        <v>TantalumSolikamsk Magnesium Works OAO</v>
      </c>
    </row>
    <row r="196" spans="1:28" s="277" customFormat="1" ht="176.4">
      <c r="A196" s="216" t="s">
        <v>778</v>
      </c>
      <c r="B196" s="217" t="s">
        <v>1155</v>
      </c>
      <c r="C196" s="221" t="s">
        <v>13614</v>
      </c>
      <c r="D196" s="283" t="s">
        <v>13614</v>
      </c>
      <c r="E196" s="217" t="s">
        <v>1123</v>
      </c>
      <c r="F196" s="217" t="str">
        <f ca="1">IF(ISERROR($V196),"",OFFSET('Smelter Look-up'!$E$4,$V196-4,0))</f>
        <v>CID001522</v>
      </c>
      <c r="G196" s="217" t="str">
        <f ca="1">IF(C196=$X$4,"Enter smelter details",IF(ISERROR($V196),"",OFFSET('Smelter Look-up'!$F$4,$V196-4,0)))</f>
        <v>RMI</v>
      </c>
      <c r="H196" s="218" t="s">
        <v>15979</v>
      </c>
      <c r="I196" s="219" t="s">
        <v>1769</v>
      </c>
      <c r="J196" s="219" t="s">
        <v>13970</v>
      </c>
      <c r="K196" s="273"/>
      <c r="L196" s="273"/>
      <c r="M196" s="273"/>
      <c r="N196" s="273" t="s">
        <v>15999</v>
      </c>
      <c r="O196" s="273" t="s">
        <v>16000</v>
      </c>
      <c r="P196" s="220"/>
      <c r="Q196" s="274" t="s">
        <v>15513</v>
      </c>
      <c r="R196" s="217" t="str">
        <f ca="1">IF(ISERROR($V196),"",OFFSET('Smelter Look-up'!$C$4,$V196-4,0)&amp;"")</f>
        <v>Yanling Jincheng Tantalum &amp; Niobium Co., Ltd.</v>
      </c>
      <c r="S196" s="225" t="str">
        <f t="shared" ca="1" si="24"/>
        <v>CN</v>
      </c>
      <c r="T196" s="225" t="str">
        <f ca="1">IF(B196="","",IF(ISERROR(MATCH($J196,SorP!$B$1:$B$6230,0)),"",INDIRECT("'SorP'!$A$"&amp;MATCH($J196,SorP!$B$1:$B$6230,0))))</f>
        <v>CN-HN</v>
      </c>
      <c r="U196" s="241"/>
      <c r="V196" s="275">
        <f>IF(C196="",NA(),MATCH($B196&amp;$C196,'Smelter Look-up'!$J:$J,0))</f>
        <v>351</v>
      </c>
      <c r="W196" s="276"/>
      <c r="X196" s="276">
        <f t="shared" si="25"/>
        <v>0</v>
      </c>
      <c r="Y196" s="276"/>
      <c r="Z196" s="276"/>
      <c r="AB196" s="278" t="str">
        <f t="shared" si="26"/>
        <v>TantalumYanling Jincheng Tantalum &amp; Niobium Co., Ltd.</v>
      </c>
    </row>
    <row r="197" spans="1:28" s="277" customFormat="1" ht="163.80000000000001">
      <c r="A197" s="216" t="s">
        <v>777</v>
      </c>
      <c r="B197" s="217" t="s">
        <v>1155</v>
      </c>
      <c r="C197" s="221" t="s">
        <v>840</v>
      </c>
      <c r="D197" s="283" t="s">
        <v>840</v>
      </c>
      <c r="E197" s="217" t="s">
        <v>2576</v>
      </c>
      <c r="F197" s="217" t="str">
        <f ca="1">IF(ISERROR($V197),"",OFFSET('Smelter Look-up'!$E$4,$V197-4,0))</f>
        <v>CID001508</v>
      </c>
      <c r="G197" s="217" t="str">
        <f ca="1">IF(C197=$X$4,"Enter smelter details",IF(ISERROR($V197),"",OFFSET('Smelter Look-up'!$F$4,$V197-4,0)))</f>
        <v>RMI</v>
      </c>
      <c r="H197" s="218" t="s">
        <v>16001</v>
      </c>
      <c r="I197" s="219" t="s">
        <v>14183</v>
      </c>
      <c r="J197" s="219" t="s">
        <v>2375</v>
      </c>
      <c r="K197" s="273"/>
      <c r="L197" s="273"/>
      <c r="M197" s="273"/>
      <c r="N197" s="273" t="s">
        <v>15701</v>
      </c>
      <c r="O197" s="273" t="s">
        <v>16002</v>
      </c>
      <c r="P197" s="220"/>
      <c r="Q197" s="274" t="s">
        <v>15513</v>
      </c>
      <c r="R197" s="217" t="str">
        <f ca="1">IF(ISERROR($V197),"",OFFSET('Smelter Look-up'!$C$4,$V197-4,0)&amp;"")</f>
        <v>QuantumClean</v>
      </c>
      <c r="S197" s="225" t="str">
        <f t="shared" ref="S197" ca="1" si="27">IF(B197="","",IF(ISERROR(MATCH($E197,CL,0)),"Unknown",INDIRECT("'C'!$A$"&amp;MATCH($E197,CL,0)+1)))</f>
        <v>US</v>
      </c>
      <c r="T197" s="225" t="str">
        <f ca="1">IF(B197="","",IF(ISERROR(MATCH($J197,SorP!$B$1:$B$6230,0)),"",INDIRECT("'SorP'!$A$"&amp;MATCH($J197,SorP!$B$1:$B$6230,0))))</f>
        <v>US-TX</v>
      </c>
      <c r="U197" s="241"/>
      <c r="V197" s="275">
        <f>IF(C197="",NA(),MATCH($B197&amp;$C197,'Smelter Look-up'!$J:$J,0))</f>
        <v>336</v>
      </c>
      <c r="W197" s="276"/>
      <c r="X197" s="276">
        <f t="shared" ref="X197" si="28">IF(AND(C197="Smelter not listed",OR(LEN(D197)=0,LEN(E197)=0)),1,0)</f>
        <v>0</v>
      </c>
      <c r="Y197" s="276"/>
      <c r="Z197" s="276"/>
      <c r="AB197" s="278" t="str">
        <f t="shared" ref="AB197" si="29">B197&amp;C197</f>
        <v>TantalumQuantumClean</v>
      </c>
    </row>
    <row r="198" spans="1:28" s="277" customFormat="1" ht="315">
      <c r="A198" s="216" t="s">
        <v>776</v>
      </c>
      <c r="B198" s="217" t="s">
        <v>1155</v>
      </c>
      <c r="C198" s="221" t="s">
        <v>1053</v>
      </c>
      <c r="D198" s="283" t="s">
        <v>1053</v>
      </c>
      <c r="E198" s="217" t="s">
        <v>1123</v>
      </c>
      <c r="F198" s="217" t="str">
        <f ca="1">IF(ISERROR($V198),"",OFFSET('Smelter Look-up'!$E$4,$V198-4,0))</f>
        <v>CID001277</v>
      </c>
      <c r="G198" s="217" t="str">
        <f ca="1">IF(C198=$X$4,"Enter smelter details",IF(ISERROR($V198),"",OFFSET('Smelter Look-up'!$F$4,$V198-4,0)))</f>
        <v>RMI</v>
      </c>
      <c r="H198" s="218" t="s">
        <v>16003</v>
      </c>
      <c r="I198" s="219" t="s">
        <v>1767</v>
      </c>
      <c r="J198" s="219" t="s">
        <v>13952</v>
      </c>
      <c r="K198" s="273"/>
      <c r="L198" s="273"/>
      <c r="M198" s="273"/>
      <c r="N198" s="273" t="s">
        <v>16004</v>
      </c>
      <c r="O198" s="273" t="s">
        <v>16005</v>
      </c>
      <c r="P198" s="220"/>
      <c r="Q198" s="274" t="s">
        <v>15513</v>
      </c>
      <c r="R198" s="217" t="str">
        <f ca="1">IF(ISERROR($V198),"",OFFSET('Smelter Look-up'!$C$4,$V198-4,0)&amp;"")</f>
        <v>Ningxia Orient Tantalum Industry Co., Ltd.</v>
      </c>
      <c r="S198" s="225" t="str">
        <f t="shared" ref="S198:S229" ca="1" si="30">IF(B198="","",IF(ISERROR(MATCH($E198,CL,0)),"Unknown",INDIRECT("'C'!$A$"&amp;MATCH($E198,CL,0)+1)))</f>
        <v>CN</v>
      </c>
      <c r="T198" s="225" t="str">
        <f ca="1">IF(B198="","",IF(ISERROR(MATCH($J198,SorP!$B$1:$B$6230,0)),"",INDIRECT("'SorP'!$A$"&amp;MATCH($J198,SorP!$B$1:$B$6230,0))))</f>
        <v>CN-NX</v>
      </c>
      <c r="U198" s="241"/>
      <c r="V198" s="275">
        <f>IF(C198="",NA(),MATCH($B198&amp;$C198,'Smelter Look-up'!$J:$J,0))</f>
        <v>331</v>
      </c>
      <c r="W198" s="276"/>
      <c r="X198" s="276">
        <f t="shared" ref="X198:X229" si="31">IF(AND(C198="Smelter not listed",OR(LEN(D198)=0,LEN(E198)=0)),1,0)</f>
        <v>0</v>
      </c>
      <c r="Y198" s="276"/>
      <c r="Z198" s="276"/>
      <c r="AB198" s="278" t="str">
        <f t="shared" ref="AB198:AB229" si="32">B198&amp;C198</f>
        <v>TantalumNingxia Orient Tantalum Industry Co., Ltd.</v>
      </c>
    </row>
    <row r="199" spans="1:28" s="277" customFormat="1" ht="277.2">
      <c r="A199" s="216" t="s">
        <v>775</v>
      </c>
      <c r="B199" s="217" t="s">
        <v>1155</v>
      </c>
      <c r="C199" s="221" t="s">
        <v>2675</v>
      </c>
      <c r="D199" s="283" t="s">
        <v>2675</v>
      </c>
      <c r="E199" s="217" t="s">
        <v>1126</v>
      </c>
      <c r="F199" s="217" t="str">
        <f ca="1">IF(ISERROR($V199),"",OFFSET('Smelter Look-up'!$E$4,$V199-4,0))</f>
        <v>CID001200</v>
      </c>
      <c r="G199" s="217" t="str">
        <f ca="1">IF(C199=$X$4,"Enter smelter details",IF(ISERROR($V199),"",OFFSET('Smelter Look-up'!$F$4,$V199-4,0)))</f>
        <v>RMI</v>
      </c>
      <c r="H199" s="218" t="s">
        <v>16006</v>
      </c>
      <c r="I199" s="219" t="s">
        <v>1765</v>
      </c>
      <c r="J199" s="219" t="s">
        <v>1766</v>
      </c>
      <c r="K199" s="273"/>
      <c r="L199" s="273"/>
      <c r="M199" s="273"/>
      <c r="N199" s="273" t="s">
        <v>16007</v>
      </c>
      <c r="O199" s="273" t="s">
        <v>16008</v>
      </c>
      <c r="P199" s="220"/>
      <c r="Q199" s="274" t="s">
        <v>15513</v>
      </c>
      <c r="R199" s="217" t="str">
        <f ca="1">IF(ISERROR($V199),"",OFFSET('Smelter Look-up'!$C$4,$V199-4,0)&amp;"")</f>
        <v>NPM Silmet AS</v>
      </c>
      <c r="S199" s="225" t="str">
        <f t="shared" ca="1" si="30"/>
        <v>EE</v>
      </c>
      <c r="T199" s="225" t="str">
        <f ca="1">IF(B199="","",IF(ISERROR(MATCH($J199,SorP!$B$1:$B$6230,0)),"",INDIRECT("'SorP'!$A$"&amp;MATCH($J199,SorP!$B$1:$B$6230,0))))</f>
        <v>EE-44</v>
      </c>
      <c r="U199" s="241"/>
      <c r="V199" s="275">
        <f>IF(C199="",NA(),MATCH($B199&amp;$C199,'Smelter Look-up'!$J:$J,0))</f>
        <v>332</v>
      </c>
      <c r="W199" s="276"/>
      <c r="X199" s="276">
        <f t="shared" si="31"/>
        <v>0</v>
      </c>
      <c r="Y199" s="276"/>
      <c r="Z199" s="276"/>
      <c r="AB199" s="278" t="str">
        <f t="shared" si="32"/>
        <v>TantalumNPM Silmet AS</v>
      </c>
    </row>
    <row r="200" spans="1:28" s="277" customFormat="1" ht="176.4">
      <c r="A200" s="216" t="s">
        <v>774</v>
      </c>
      <c r="B200" s="217" t="s">
        <v>1155</v>
      </c>
      <c r="C200" s="221" t="s">
        <v>1253</v>
      </c>
      <c r="D200" s="283" t="s">
        <v>1253</v>
      </c>
      <c r="E200" s="217" t="s">
        <v>1131</v>
      </c>
      <c r="F200" s="217" t="str">
        <f ca="1">IF(ISERROR($V200),"",OFFSET('Smelter Look-up'!$E$4,$V200-4,0))</f>
        <v>CID001192</v>
      </c>
      <c r="G200" s="217" t="str">
        <f ca="1">IF(C200=$X$4,"Enter smelter details",IF(ISERROR($V200),"",OFFSET('Smelter Look-up'!$F$4,$V200-4,0)))</f>
        <v>RMI</v>
      </c>
      <c r="H200" s="218" t="s">
        <v>16009</v>
      </c>
      <c r="I200" s="219" t="s">
        <v>1763</v>
      </c>
      <c r="J200" s="219" t="s">
        <v>1764</v>
      </c>
      <c r="K200" s="273"/>
      <c r="L200" s="273"/>
      <c r="M200" s="273"/>
      <c r="N200" s="273" t="s">
        <v>15650</v>
      </c>
      <c r="O200" s="273" t="s">
        <v>16010</v>
      </c>
      <c r="P200" s="220"/>
      <c r="Q200" s="274" t="s">
        <v>15513</v>
      </c>
      <c r="R200" s="217" t="str">
        <f ca="1">IF(ISERROR($V200),"",OFFSET('Smelter Look-up'!$C$4,$V200-4,0)&amp;"")</f>
        <v>Mitsui Mining and Smelting Co., Ltd.</v>
      </c>
      <c r="S200" s="225" t="str">
        <f t="shared" ca="1" si="30"/>
        <v>JP</v>
      </c>
      <c r="T200" s="225" t="str">
        <f ca="1">IF(B200="","",IF(ISERROR(MATCH($J200,SorP!$B$1:$B$6230,0)),"",INDIRECT("'SorP'!$A$"&amp;MATCH($J200,SorP!$B$1:$B$6230,0))))</f>
        <v>JP-40</v>
      </c>
      <c r="U200" s="241"/>
      <c r="V200" s="275">
        <f>IF(C200="",NA(),MATCH($B200&amp;$C200,'Smelter Look-up'!$J:$J,0))</f>
        <v>328</v>
      </c>
      <c r="W200" s="276"/>
      <c r="X200" s="276">
        <f t="shared" si="31"/>
        <v>0</v>
      </c>
      <c r="Y200" s="276"/>
      <c r="Z200" s="276"/>
      <c r="AB200" s="278" t="str">
        <f t="shared" si="32"/>
        <v>TantalumMitsui Mining and Smelting Co., Ltd.</v>
      </c>
    </row>
    <row r="201" spans="1:28" s="277" customFormat="1" ht="100.8">
      <c r="A201" s="216" t="s">
        <v>773</v>
      </c>
      <c r="B201" s="217" t="s">
        <v>1155</v>
      </c>
      <c r="C201" s="221" t="s">
        <v>12757</v>
      </c>
      <c r="D201" s="283" t="s">
        <v>12757</v>
      </c>
      <c r="E201" s="217" t="s">
        <v>1119</v>
      </c>
      <c r="F201" s="217" t="str">
        <f ca="1">IF(ISERROR($V201),"",OFFSET('Smelter Look-up'!$E$4,$V201-4,0))</f>
        <v>CID001175</v>
      </c>
      <c r="G201" s="217" t="str">
        <f ca="1">IF(C201=$X$4,"Enter smelter details",IF(ISERROR($V201),"",OFFSET('Smelter Look-up'!$F$4,$V201-4,0)))</f>
        <v>RMI</v>
      </c>
      <c r="H201" s="218" t="s">
        <v>16011</v>
      </c>
      <c r="I201" s="219" t="s">
        <v>1761</v>
      </c>
      <c r="J201" s="219" t="s">
        <v>1762</v>
      </c>
      <c r="K201" s="273"/>
      <c r="L201" s="273"/>
      <c r="M201" s="273"/>
      <c r="N201" s="273" t="s">
        <v>15538</v>
      </c>
      <c r="O201" s="273" t="s">
        <v>16012</v>
      </c>
      <c r="P201" s="220"/>
      <c r="Q201" s="274" t="s">
        <v>15513</v>
      </c>
      <c r="R201" s="217" t="str">
        <f ca="1">IF(ISERROR($V201),"",OFFSET('Smelter Look-up'!$C$4,$V201-4,0)&amp;"")</f>
        <v>Mineracao Taboca S.A.</v>
      </c>
      <c r="S201" s="225" t="str">
        <f t="shared" ca="1" si="30"/>
        <v>BR</v>
      </c>
      <c r="T201" s="225" t="str">
        <f ca="1">IF(B201="","",IF(ISERROR(MATCH($J201,SorP!$B$1:$B$6230,0)),"",INDIRECT("'SorP'!$A$"&amp;MATCH($J201,SorP!$B$1:$B$6230,0))))</f>
        <v>BR-AM</v>
      </c>
      <c r="U201" s="241"/>
      <c r="V201" s="275">
        <f>IF(C201="",NA(),MATCH($B201&amp;$C201,'Smelter Look-up'!$J:$J,0))</f>
        <v>324</v>
      </c>
      <c r="W201" s="276"/>
      <c r="X201" s="276">
        <f t="shared" si="31"/>
        <v>0</v>
      </c>
      <c r="Y201" s="276"/>
      <c r="Z201" s="276"/>
      <c r="AB201" s="278" t="str">
        <f t="shared" si="32"/>
        <v>TantalumMineracao Taboca S.A.</v>
      </c>
    </row>
    <row r="202" spans="1:28" s="277" customFormat="1" ht="264.60000000000002">
      <c r="A202" s="216" t="s">
        <v>772</v>
      </c>
      <c r="B202" s="217" t="s">
        <v>1155</v>
      </c>
      <c r="C202" s="221" t="s">
        <v>2257</v>
      </c>
      <c r="D202" s="283" t="s">
        <v>2257</v>
      </c>
      <c r="E202" s="217" t="s">
        <v>1129</v>
      </c>
      <c r="F202" s="217" t="str">
        <f ca="1">IF(ISERROR($V202),"",OFFSET('Smelter Look-up'!$E$4,$V202-4,0))</f>
        <v>CID001163</v>
      </c>
      <c r="G202" s="217" t="str">
        <f ca="1">IF(C202=$X$4,"Enter smelter details",IF(ISERROR($V202),"",OFFSET('Smelter Look-up'!$F$4,$V202-4,0)))</f>
        <v>RMI</v>
      </c>
      <c r="H202" s="218" t="s">
        <v>16013</v>
      </c>
      <c r="I202" s="219" t="s">
        <v>1758</v>
      </c>
      <c r="J202" s="219" t="s">
        <v>1759</v>
      </c>
      <c r="K202" s="273"/>
      <c r="L202" s="273"/>
      <c r="M202" s="273"/>
      <c r="N202" s="273" t="s">
        <v>15650</v>
      </c>
      <c r="O202" s="273" t="s">
        <v>16014</v>
      </c>
      <c r="P202" s="220"/>
      <c r="Q202" s="274" t="s">
        <v>15513</v>
      </c>
      <c r="R202" s="217" t="str">
        <f ca="1">IF(ISERROR($V202),"",OFFSET('Smelter Look-up'!$C$4,$V202-4,0)&amp;"")</f>
        <v>Metallurgical Products India Pvt., Ltd.</v>
      </c>
      <c r="S202" s="225" t="str">
        <f t="shared" ca="1" si="30"/>
        <v>IN</v>
      </c>
      <c r="T202" s="225" t="str">
        <f ca="1">IF(B202="","",IF(ISERROR(MATCH($J202,SorP!$B$1:$B$6230,0)),"",INDIRECT("'SorP'!$A$"&amp;MATCH($J202,SorP!$B$1:$B$6230,0))))</f>
        <v>IN-MH</v>
      </c>
      <c r="U202" s="241"/>
      <c r="V202" s="275">
        <f>IF(C202="",NA(),MATCH($B202&amp;$C202,'Smelter Look-up'!$J:$J,0))</f>
        <v>323</v>
      </c>
      <c r="W202" s="276"/>
      <c r="X202" s="276">
        <f t="shared" si="31"/>
        <v>0</v>
      </c>
      <c r="Y202" s="276"/>
      <c r="Z202" s="276"/>
      <c r="AB202" s="278" t="str">
        <f t="shared" si="32"/>
        <v>TantalumMetallurgical Products India Pvt., Ltd.</v>
      </c>
    </row>
    <row r="203" spans="1:28" s="277" customFormat="1" ht="252">
      <c r="A203" s="216" t="s">
        <v>771</v>
      </c>
      <c r="B203" s="217" t="s">
        <v>1155</v>
      </c>
      <c r="C203" s="221" t="s">
        <v>49</v>
      </c>
      <c r="D203" s="283" t="s">
        <v>49</v>
      </c>
      <c r="E203" s="217" t="s">
        <v>1119</v>
      </c>
      <c r="F203" s="217" t="str">
        <f ca="1">IF(ISERROR($V203),"",OFFSET('Smelter Look-up'!$E$4,$V203-4,0))</f>
        <v>CID001076</v>
      </c>
      <c r="G203" s="217" t="str">
        <f ca="1">IF(C203=$X$4,"Enter smelter details",IF(ISERROR($V203),"",OFFSET('Smelter Look-up'!$F$4,$V203-4,0)))</f>
        <v>RMI</v>
      </c>
      <c r="H203" s="218" t="s">
        <v>16015</v>
      </c>
      <c r="I203" s="219" t="s">
        <v>1757</v>
      </c>
      <c r="J203" s="219" t="s">
        <v>1577</v>
      </c>
      <c r="K203" s="273"/>
      <c r="L203" s="273"/>
      <c r="M203" s="273"/>
      <c r="N203" s="273" t="s">
        <v>16016</v>
      </c>
      <c r="O203" s="273" t="s">
        <v>16017</v>
      </c>
      <c r="P203" s="220"/>
      <c r="Q203" s="274" t="s">
        <v>15513</v>
      </c>
      <c r="R203" s="217" t="str">
        <f ca="1">IF(ISERROR($V203),"",OFFSET('Smelter Look-up'!$C$4,$V203-4,0)&amp;"")</f>
        <v>LSM Brasil S.A.</v>
      </c>
      <c r="S203" s="225" t="str">
        <f t="shared" ca="1" si="30"/>
        <v>BR</v>
      </c>
      <c r="T203" s="225" t="str">
        <f ca="1">IF(B203="","",IF(ISERROR(MATCH($J203,SorP!$B$1:$B$6230,0)),"",INDIRECT("'SorP'!$A$"&amp;MATCH($J203,SorP!$B$1:$B$6230,0))))</f>
        <v>BR-MG</v>
      </c>
      <c r="U203" s="241"/>
      <c r="V203" s="275">
        <f>IF(C203="",NA(),MATCH($B203&amp;$C203,'Smelter Look-up'!$J:$J,0))</f>
        <v>321</v>
      </c>
      <c r="W203" s="276"/>
      <c r="X203" s="276">
        <f t="shared" si="31"/>
        <v>0</v>
      </c>
      <c r="Y203" s="276"/>
      <c r="Z203" s="276"/>
      <c r="AB203" s="278" t="str">
        <f t="shared" si="32"/>
        <v>TantalumLSM Brasil S.A.</v>
      </c>
    </row>
    <row r="204" spans="1:28" s="277" customFormat="1" ht="289.8">
      <c r="A204" s="216" t="s">
        <v>770</v>
      </c>
      <c r="B204" s="217" t="s">
        <v>1155</v>
      </c>
      <c r="C204" s="221" t="s">
        <v>48</v>
      </c>
      <c r="D204" s="283" t="s">
        <v>48</v>
      </c>
      <c r="E204" s="217" t="s">
        <v>1123</v>
      </c>
      <c r="F204" s="217" t="str">
        <f ca="1">IF(ISERROR($V204),"",OFFSET('Smelter Look-up'!$E$4,$V204-4,0))</f>
        <v>CID000917</v>
      </c>
      <c r="G204" s="217" t="str">
        <f ca="1">IF(C204=$X$4,"Enter smelter details",IF(ISERROR($V204),"",OFFSET('Smelter Look-up'!$F$4,$V204-4,0)))</f>
        <v>RMI</v>
      </c>
      <c r="H204" s="218" t="s">
        <v>15977</v>
      </c>
      <c r="I204" s="219" t="s">
        <v>1756</v>
      </c>
      <c r="J204" s="219" t="s">
        <v>13966</v>
      </c>
      <c r="K204" s="273"/>
      <c r="L204" s="273"/>
      <c r="M204" s="273"/>
      <c r="N204" s="273" t="s">
        <v>16018</v>
      </c>
      <c r="O204" s="273" t="s">
        <v>16019</v>
      </c>
      <c r="P204" s="220"/>
      <c r="Q204" s="274" t="s">
        <v>15513</v>
      </c>
      <c r="R204" s="217" t="str">
        <f ca="1">IF(ISERROR($V204),"",OFFSET('Smelter Look-up'!$C$4,$V204-4,0)&amp;"")</f>
        <v>Jiujiang Tanbre Co., Ltd.</v>
      </c>
      <c r="S204" s="225" t="str">
        <f t="shared" ca="1" si="30"/>
        <v>CN</v>
      </c>
      <c r="T204" s="225" t="str">
        <f ca="1">IF(B204="","",IF(ISERROR(MATCH($J204,SorP!$B$1:$B$6230,0)),"",INDIRECT("'SorP'!$A$"&amp;MATCH($J204,SorP!$B$1:$B$6230,0))))</f>
        <v>CN-JX</v>
      </c>
      <c r="U204" s="241"/>
      <c r="V204" s="275">
        <f>IF(C204="",NA(),MATCH($B204&amp;$C204,'Smelter Look-up'!$J:$J,0))</f>
        <v>318</v>
      </c>
      <c r="W204" s="276"/>
      <c r="X204" s="276">
        <f t="shared" si="31"/>
        <v>0</v>
      </c>
      <c r="Y204" s="276"/>
      <c r="Z204" s="276"/>
      <c r="AB204" s="278" t="str">
        <f t="shared" si="32"/>
        <v>TantalumJiujiang Tanbre Co., Ltd.</v>
      </c>
    </row>
    <row r="205" spans="1:28" s="277" customFormat="1" ht="277.2">
      <c r="A205" s="216" t="s">
        <v>769</v>
      </c>
      <c r="B205" s="217" t="s">
        <v>1155</v>
      </c>
      <c r="C205" s="221" t="s">
        <v>5</v>
      </c>
      <c r="D205" s="283" t="s">
        <v>5</v>
      </c>
      <c r="E205" s="217" t="s">
        <v>1123</v>
      </c>
      <c r="F205" s="217" t="str">
        <f ca="1">IF(ISERROR($V205),"",OFFSET('Smelter Look-up'!$E$4,$V205-4,0))</f>
        <v>CID000914</v>
      </c>
      <c r="G205" s="217" t="str">
        <f ca="1">IF(C205=$X$4,"Enter smelter details",IF(ISERROR($V205),"",OFFSET('Smelter Look-up'!$F$4,$V205-4,0)))</f>
        <v>RMI</v>
      </c>
      <c r="H205" s="218" t="s">
        <v>15977</v>
      </c>
      <c r="I205" s="219" t="s">
        <v>1756</v>
      </c>
      <c r="J205" s="219" t="s">
        <v>13966</v>
      </c>
      <c r="K205" s="273"/>
      <c r="L205" s="273"/>
      <c r="M205" s="273"/>
      <c r="N205" s="273" t="s">
        <v>16020</v>
      </c>
      <c r="O205" s="273" t="s">
        <v>16021</v>
      </c>
      <c r="P205" s="220"/>
      <c r="Q205" s="274" t="s">
        <v>15513</v>
      </c>
      <c r="R205" s="217" t="str">
        <f ca="1">IF(ISERROR($V205),"",OFFSET('Smelter Look-up'!$C$4,$V205-4,0)&amp;"")</f>
        <v>JiuJiang JinXin Nonferrous Metals Co., Ltd.</v>
      </c>
      <c r="S205" s="225" t="str">
        <f t="shared" ca="1" si="30"/>
        <v>CN</v>
      </c>
      <c r="T205" s="225" t="str">
        <f ca="1">IF(B205="","",IF(ISERROR(MATCH($J205,SorP!$B$1:$B$6230,0)),"",INDIRECT("'SorP'!$A$"&amp;MATCH($J205,SorP!$B$1:$B$6230,0))))</f>
        <v>CN-JX</v>
      </c>
      <c r="U205" s="241"/>
      <c r="V205" s="275">
        <f>IF(C205="",NA(),MATCH($B205&amp;$C205,'Smelter Look-up'!$J:$J,0))</f>
        <v>316</v>
      </c>
      <c r="W205" s="276"/>
      <c r="X205" s="276">
        <f t="shared" si="31"/>
        <v>0</v>
      </c>
      <c r="Y205" s="276"/>
      <c r="Z205" s="276"/>
      <c r="AB205" s="278" t="str">
        <f t="shared" si="32"/>
        <v>TantalumJiuJiang JinXin Nonferrous Metals Co., Ltd.</v>
      </c>
    </row>
    <row r="206" spans="1:28" s="277" customFormat="1" ht="315">
      <c r="A206" s="216" t="s">
        <v>768</v>
      </c>
      <c r="B206" s="217" t="s">
        <v>1155</v>
      </c>
      <c r="C206" s="221" t="s">
        <v>767</v>
      </c>
      <c r="D206" s="283" t="s">
        <v>767</v>
      </c>
      <c r="E206" s="217" t="s">
        <v>1123</v>
      </c>
      <c r="F206" s="217" t="str">
        <f ca="1">IF(ISERROR($V206),"",OFFSET('Smelter Look-up'!$E$4,$V206-4,0))</f>
        <v>CID000616</v>
      </c>
      <c r="G206" s="217" t="str">
        <f ca="1">IF(C206=$X$4,"Enter smelter details",IF(ISERROR($V206),"",OFFSET('Smelter Look-up'!$F$4,$V206-4,0)))</f>
        <v>RMI</v>
      </c>
      <c r="H206" s="218" t="s">
        <v>16022</v>
      </c>
      <c r="I206" s="219" t="s">
        <v>1755</v>
      </c>
      <c r="J206" s="219" t="s">
        <v>13971</v>
      </c>
      <c r="K206" s="273"/>
      <c r="L206" s="273"/>
      <c r="M206" s="273"/>
      <c r="N206" s="273" t="s">
        <v>16023</v>
      </c>
      <c r="O206" s="273" t="s">
        <v>16024</v>
      </c>
      <c r="P206" s="220"/>
      <c r="Q206" s="274" t="s">
        <v>15513</v>
      </c>
      <c r="R206" s="217" t="str">
        <f ca="1">IF(ISERROR($V206),"",OFFSET('Smelter Look-up'!$C$4,$V206-4,0)&amp;"")</f>
        <v>Guangdong Zhiyuan New Material Co., Ltd.</v>
      </c>
      <c r="S206" s="225" t="str">
        <f t="shared" ca="1" si="30"/>
        <v>CN</v>
      </c>
      <c r="T206" s="225" t="str">
        <f ca="1">IF(B206="","",IF(ISERROR(MATCH($J206,SorP!$B$1:$B$6230,0)),"",INDIRECT("'SorP'!$A$"&amp;MATCH($J206,SorP!$B$1:$B$6230,0))))</f>
        <v>CN-GD</v>
      </c>
      <c r="U206" s="241"/>
      <c r="V206" s="275">
        <f>IF(C206="",NA(),MATCH($B206&amp;$C206,'Smelter Look-up'!$J:$J,0))</f>
        <v>306</v>
      </c>
      <c r="W206" s="276"/>
      <c r="X206" s="276">
        <f t="shared" si="31"/>
        <v>0</v>
      </c>
      <c r="Y206" s="276"/>
      <c r="Z206" s="276"/>
      <c r="AB206" s="278" t="str">
        <f t="shared" si="32"/>
        <v>TantalumGuangdong Zhiyuan New Material Co., Ltd.</v>
      </c>
    </row>
    <row r="207" spans="1:28" s="277" customFormat="1" ht="352.8">
      <c r="A207" s="216" t="s">
        <v>766</v>
      </c>
      <c r="B207" s="217" t="s">
        <v>1155</v>
      </c>
      <c r="C207" s="221" t="s">
        <v>47</v>
      </c>
      <c r="D207" s="283" t="s">
        <v>47</v>
      </c>
      <c r="E207" s="217" t="s">
        <v>1123</v>
      </c>
      <c r="F207" s="217" t="str">
        <f ca="1">IF(ISERROR($V207),"",OFFSET('Smelter Look-up'!$E$4,$V207-4,0))</f>
        <v>CID000460</v>
      </c>
      <c r="G207" s="217" t="str">
        <f ca="1">IF(C207=$X$4,"Enter smelter details",IF(ISERROR($V207),"",OFFSET('Smelter Look-up'!$F$4,$V207-4,0)))</f>
        <v>RMI</v>
      </c>
      <c r="H207" s="218" t="s">
        <v>16025</v>
      </c>
      <c r="I207" s="219" t="s">
        <v>1753</v>
      </c>
      <c r="J207" s="219" t="s">
        <v>13971</v>
      </c>
      <c r="K207" s="273"/>
      <c r="L207" s="273"/>
      <c r="M207" s="273"/>
      <c r="N207" s="273" t="s">
        <v>16026</v>
      </c>
      <c r="O207" s="273" t="s">
        <v>16027</v>
      </c>
      <c r="P207" s="220"/>
      <c r="Q207" s="274" t="s">
        <v>15513</v>
      </c>
      <c r="R207" s="217" t="str">
        <f ca="1">IF(ISERROR($V207),"",OFFSET('Smelter Look-up'!$C$4,$V207-4,0)&amp;"")</f>
        <v>F&amp;X Electro-Materials Ltd.</v>
      </c>
      <c r="S207" s="225" t="str">
        <f t="shared" ca="1" si="30"/>
        <v>CN</v>
      </c>
      <c r="T207" s="225" t="str">
        <f ca="1">IF(B207="","",IF(ISERROR(MATCH($J207,SorP!$B$1:$B$6230,0)),"",INDIRECT("'SorP'!$A$"&amp;MATCH($J207,SorP!$B$1:$B$6230,0))))</f>
        <v>CN-GD</v>
      </c>
      <c r="U207" s="241"/>
      <c r="V207" s="275">
        <f>IF(C207="",NA(),MATCH($B207&amp;$C207,'Smelter Look-up'!$J:$J,0))</f>
        <v>302</v>
      </c>
      <c r="W207" s="276"/>
      <c r="X207" s="276">
        <f t="shared" si="31"/>
        <v>0</v>
      </c>
      <c r="Y207" s="276"/>
      <c r="Z207" s="276"/>
      <c r="AB207" s="278" t="str">
        <f t="shared" si="32"/>
        <v>TantalumF&amp;X Electro-Materials Ltd.</v>
      </c>
    </row>
    <row r="208" spans="1:28" s="277" customFormat="1" ht="239.4">
      <c r="A208" s="216" t="s">
        <v>765</v>
      </c>
      <c r="B208" s="217" t="s">
        <v>1155</v>
      </c>
      <c r="C208" s="221" t="s">
        <v>1141</v>
      </c>
      <c r="D208" s="283" t="s">
        <v>1141</v>
      </c>
      <c r="E208" s="217" t="s">
        <v>2576</v>
      </c>
      <c r="F208" s="217" t="str">
        <f ca="1">IF(ISERROR($V208),"",OFFSET('Smelter Look-up'!$E$4,$V208-4,0))</f>
        <v>CID000456</v>
      </c>
      <c r="G208" s="217" t="str">
        <f ca="1">IF(C208=$X$4,"Enter smelter details",IF(ISERROR($V208),"",OFFSET('Smelter Look-up'!$F$4,$V208-4,0)))</f>
        <v>RMI</v>
      </c>
      <c r="H208" s="218" t="s">
        <v>16028</v>
      </c>
      <c r="I208" s="219" t="s">
        <v>1752</v>
      </c>
      <c r="J208" s="219" t="s">
        <v>1731</v>
      </c>
      <c r="K208" s="273"/>
      <c r="L208" s="273"/>
      <c r="M208" s="273"/>
      <c r="N208" s="273" t="s">
        <v>16029</v>
      </c>
      <c r="O208" s="273" t="s">
        <v>16030</v>
      </c>
      <c r="P208" s="220"/>
      <c r="Q208" s="274" t="s">
        <v>15513</v>
      </c>
      <c r="R208" s="217" t="str">
        <f ca="1">IF(ISERROR($V208),"",OFFSET('Smelter Look-up'!$C$4,$V208-4,0)&amp;"")</f>
        <v>Exotech Inc.</v>
      </c>
      <c r="S208" s="225" t="str">
        <f t="shared" ca="1" si="30"/>
        <v>US</v>
      </c>
      <c r="T208" s="225" t="str">
        <f ca="1">IF(B208="","",IF(ISERROR(MATCH($J208,SorP!$B$1:$B$6230,0)),"",INDIRECT("'SorP'!$A$"&amp;MATCH($J208,SorP!$B$1:$B$6230,0))))</f>
        <v>US-FL</v>
      </c>
      <c r="U208" s="241"/>
      <c r="V208" s="275">
        <f>IF(C208="",NA(),MATCH($B208&amp;$C208,'Smelter Look-up'!$J:$J,0))</f>
        <v>300</v>
      </c>
      <c r="W208" s="276"/>
      <c r="X208" s="276">
        <f t="shared" si="31"/>
        <v>0</v>
      </c>
      <c r="Y208" s="276"/>
      <c r="Z208" s="276"/>
      <c r="AB208" s="278" t="str">
        <f t="shared" si="32"/>
        <v>TantalumExotech Inc.</v>
      </c>
    </row>
    <row r="209" spans="1:28" s="277" customFormat="1" ht="189">
      <c r="A209" s="216" t="s">
        <v>764</v>
      </c>
      <c r="B209" s="217" t="s">
        <v>1155</v>
      </c>
      <c r="C209" s="221" t="s">
        <v>3</v>
      </c>
      <c r="D209" s="283" t="s">
        <v>3</v>
      </c>
      <c r="E209" s="217" t="s">
        <v>1123</v>
      </c>
      <c r="F209" s="217" t="str">
        <f ca="1">IF(ISERROR($V209),"",OFFSET('Smelter Look-up'!$E$4,$V209-4,0))</f>
        <v>CID000211</v>
      </c>
      <c r="G209" s="217" t="str">
        <f ca="1">IF(C209=$X$4,"Enter smelter details",IF(ISERROR($V209),"",OFFSET('Smelter Look-up'!$F$4,$V209-4,0)))</f>
        <v>RMI</v>
      </c>
      <c r="H209" s="218" t="s">
        <v>16031</v>
      </c>
      <c r="I209" s="219" t="s">
        <v>1620</v>
      </c>
      <c r="J209" s="219" t="s">
        <v>13970</v>
      </c>
      <c r="K209" s="273"/>
      <c r="L209" s="273"/>
      <c r="M209" s="273"/>
      <c r="N209" s="273" t="s">
        <v>16032</v>
      </c>
      <c r="O209" s="273" t="s">
        <v>16033</v>
      </c>
      <c r="P209" s="220"/>
      <c r="Q209" s="274" t="s">
        <v>15513</v>
      </c>
      <c r="R209" s="217" t="str">
        <f ca="1">IF(ISERROR($V209),"",OFFSET('Smelter Look-up'!$C$4,$V209-4,0)&amp;"")</f>
        <v>Changsha South Tantalum Niobium Co., Ltd.</v>
      </c>
      <c r="S209" s="225" t="str">
        <f t="shared" ca="1" si="30"/>
        <v>CN</v>
      </c>
      <c r="T209" s="225" t="str">
        <f ca="1">IF(B209="","",IF(ISERROR(MATCH($J209,SorP!$B$1:$B$6230,0)),"",INDIRECT("'SorP'!$A$"&amp;MATCH($J209,SorP!$B$1:$B$6230,0))))</f>
        <v>CN-HN</v>
      </c>
      <c r="U209" s="241"/>
      <c r="V209" s="275">
        <f>IF(C209="",NA(),MATCH($B209&amp;$C209,'Smelter Look-up'!$J:$J,0))</f>
        <v>296</v>
      </c>
      <c r="W209" s="276"/>
      <c r="X209" s="276">
        <f t="shared" si="31"/>
        <v>0</v>
      </c>
      <c r="Y209" s="276"/>
      <c r="Z209" s="276"/>
      <c r="AB209" s="278" t="str">
        <f t="shared" si="32"/>
        <v>TantalumChangsha South Tantalum Niobium Co., Ltd.</v>
      </c>
    </row>
    <row r="210" spans="1:28" s="277" customFormat="1" ht="138.6">
      <c r="A210" s="216" t="s">
        <v>2672</v>
      </c>
      <c r="B210" s="217" t="s">
        <v>1155</v>
      </c>
      <c r="C210" s="221" t="s">
        <v>2245</v>
      </c>
      <c r="D210" s="283" t="s">
        <v>2245</v>
      </c>
      <c r="E210" s="217" t="s">
        <v>1131</v>
      </c>
      <c r="F210" s="217" t="str">
        <f ca="1">IF(ISERROR($V210),"",OFFSET('Smelter Look-up'!$E$4,$V210-4,0))</f>
        <v>CID000092</v>
      </c>
      <c r="G210" s="217" t="str">
        <f ca="1">IF(C210=$X$4,"Enter smelter details",IF(ISERROR($V210),"",OFFSET('Smelter Look-up'!$F$4,$V210-4,0)))</f>
        <v>RMI</v>
      </c>
      <c r="H210" s="218" t="s">
        <v>15888</v>
      </c>
      <c r="I210" s="219" t="s">
        <v>1583</v>
      </c>
      <c r="J210" s="219" t="s">
        <v>1584</v>
      </c>
      <c r="K210" s="273"/>
      <c r="L210" s="273"/>
      <c r="M210" s="273"/>
      <c r="N210" s="273" t="s">
        <v>16034</v>
      </c>
      <c r="O210" s="273" t="s">
        <v>16035</v>
      </c>
      <c r="P210" s="220"/>
      <c r="Q210" s="274" t="s">
        <v>15513</v>
      </c>
      <c r="R210" s="217" t="str">
        <f ca="1">IF(ISERROR($V210),"",OFFSET('Smelter Look-up'!$C$4,$V210-4,0)&amp;"")</f>
        <v>Asaka Riken Co., Ltd.</v>
      </c>
      <c r="S210" s="225" t="str">
        <f t="shared" ca="1" si="30"/>
        <v>JP</v>
      </c>
      <c r="T210" s="225" t="str">
        <f ca="1">IF(B210="","",IF(ISERROR(MATCH($J210,SorP!$B$1:$B$6230,0)),"",INDIRECT("'SorP'!$A$"&amp;MATCH($J210,SorP!$B$1:$B$6230,0))))</f>
        <v>JP-07</v>
      </c>
      <c r="U210" s="241"/>
      <c r="V210" s="275">
        <f>IF(C210="",NA(),MATCH($B210&amp;$C210,'Smelter Look-up'!$J:$J,0))</f>
        <v>295</v>
      </c>
      <c r="W210" s="276"/>
      <c r="X210" s="276">
        <f t="shared" si="31"/>
        <v>0</v>
      </c>
      <c r="Y210" s="276"/>
      <c r="Z210" s="276"/>
      <c r="AB210" s="278" t="str">
        <f t="shared" si="32"/>
        <v>TantalumAsaka Riken Co., Ltd.</v>
      </c>
    </row>
    <row r="211" spans="1:28" s="277" customFormat="1" ht="63">
      <c r="A211" s="216" t="s">
        <v>14240</v>
      </c>
      <c r="B211" s="217" t="s">
        <v>1154</v>
      </c>
      <c r="C211" s="221" t="s">
        <v>14224</v>
      </c>
      <c r="D211" s="283" t="s">
        <v>14224</v>
      </c>
      <c r="E211" s="217" t="s">
        <v>1128</v>
      </c>
      <c r="F211" s="217" t="str">
        <f ca="1">IF(ISERROR($V211),"",OFFSET('Smelter Look-up'!$E$4,$V211-4,0))</f>
        <v>CID003449</v>
      </c>
      <c r="G211" s="217" t="str">
        <f ca="1">IF(C211=$X$4,"Enter smelter details",IF(ISERROR($V211),"",OFFSET('Smelter Look-up'!$F$4,$V211-4,0)))</f>
        <v>RMI</v>
      </c>
      <c r="H211" s="218" t="s">
        <v>16036</v>
      </c>
      <c r="I211" s="219" t="s">
        <v>16037</v>
      </c>
      <c r="J211" s="219" t="s">
        <v>13183</v>
      </c>
      <c r="K211" s="273"/>
      <c r="L211" s="273"/>
      <c r="M211" s="273"/>
      <c r="N211" s="273"/>
      <c r="O211" s="273" t="s">
        <v>15509</v>
      </c>
      <c r="P211" s="220"/>
      <c r="Q211" s="274"/>
      <c r="R211" s="217" t="str">
        <f ca="1">IF(ISERROR($V211),"",OFFSET('Smelter Look-up'!$C$4,$V211-4,0)&amp;"")</f>
        <v>PT Mitra Sukses Globalindo</v>
      </c>
      <c r="S211" s="225" t="str">
        <f t="shared" ca="1" si="30"/>
        <v>ID</v>
      </c>
      <c r="T211" s="225" t="str">
        <f ca="1">IF(B211="","",IF(ISERROR(MATCH($J211,SorP!$B$1:$B$6230,0)),"",INDIRECT("'SorP'!$A$"&amp;MATCH($J211,SorP!$B$1:$B$6230,0))))</f>
        <v>ID-BB</v>
      </c>
      <c r="U211" s="241"/>
      <c r="V211" s="275">
        <f>IF(C211="",NA(),MATCH($B211&amp;$C211,'Smelter Look-up'!$J:$J,0))</f>
        <v>442</v>
      </c>
      <c r="W211" s="276"/>
      <c r="X211" s="276">
        <f t="shared" si="31"/>
        <v>0</v>
      </c>
      <c r="Y211" s="276"/>
      <c r="Z211" s="276"/>
      <c r="AB211" s="278" t="str">
        <f t="shared" si="32"/>
        <v>TinPT Mitra Sukses Globalindo</v>
      </c>
    </row>
    <row r="212" spans="1:28" s="277" customFormat="1" ht="88.2">
      <c r="A212" s="216" t="s">
        <v>14150</v>
      </c>
      <c r="B212" s="217" t="s">
        <v>1154</v>
      </c>
      <c r="C212" s="221" t="s">
        <v>14222</v>
      </c>
      <c r="D212" s="283" t="s">
        <v>14222</v>
      </c>
      <c r="E212" s="217" t="s">
        <v>1123</v>
      </c>
      <c r="F212" s="217" t="str">
        <f ca="1">IF(ISERROR($V212),"",OFFSET('Smelter Look-up'!$E$4,$V212-4,0))</f>
        <v>CID003410</v>
      </c>
      <c r="G212" s="217" t="str">
        <f ca="1">IF(C212=$X$4,"Enter smelter details",IF(ISERROR($V212),"",OFFSET('Smelter Look-up'!$F$4,$V212-4,0)))</f>
        <v>RMI</v>
      </c>
      <c r="H212" s="218" t="s">
        <v>16038</v>
      </c>
      <c r="I212" s="219" t="s">
        <v>2590</v>
      </c>
      <c r="J212" s="219" t="s">
        <v>16039</v>
      </c>
      <c r="K212" s="273"/>
      <c r="L212" s="273"/>
      <c r="M212" s="273"/>
      <c r="N212" s="273"/>
      <c r="O212" s="273" t="s">
        <v>15507</v>
      </c>
      <c r="P212" s="220"/>
      <c r="Q212" s="274"/>
      <c r="R212" s="217" t="str">
        <f ca="1">IF(ISERROR($V212),"",OFFSET('Smelter Look-up'!$C$4,$V212-4,0)&amp;"")</f>
        <v>Gejiu City Fuxiang Industry and Trade Co., Ltd.</v>
      </c>
      <c r="S212" s="225" t="str">
        <f t="shared" ca="1" si="30"/>
        <v>CN</v>
      </c>
      <c r="T212" s="225" t="str">
        <f ca="1">IF(B212="","",IF(ISERROR(MATCH($J212,SorP!$B$1:$B$6230,0)),"",INDIRECT("'SorP'!$A$"&amp;MATCH($J212,SorP!$B$1:$B$6230,0))))</f>
        <v/>
      </c>
      <c r="U212" s="241"/>
      <c r="V212" s="275">
        <f>IF(C212="",NA(),MATCH($B212&amp;$C212,'Smelter Look-up'!$J:$J,0))</f>
        <v>386</v>
      </c>
      <c r="W212" s="276"/>
      <c r="X212" s="276">
        <f t="shared" si="31"/>
        <v>0</v>
      </c>
      <c r="Y212" s="276"/>
      <c r="Z212" s="276"/>
      <c r="AB212" s="278" t="str">
        <f t="shared" si="32"/>
        <v>TinGejiu City Fuxiang Industry and Trade Co., Ltd.</v>
      </c>
    </row>
    <row r="213" spans="1:28" s="277" customFormat="1" ht="75.599999999999994">
      <c r="A213" s="216" t="s">
        <v>14158</v>
      </c>
      <c r="B213" s="217" t="s">
        <v>1154</v>
      </c>
      <c r="C213" s="221" t="s">
        <v>14157</v>
      </c>
      <c r="D213" s="283" t="s">
        <v>14157</v>
      </c>
      <c r="E213" s="217" t="s">
        <v>1129</v>
      </c>
      <c r="F213" s="217" t="str">
        <f ca="1">IF(ISERROR($V213),"",OFFSET('Smelter Look-up'!$E$4,$V213-4,0))</f>
        <v>CID003409</v>
      </c>
      <c r="G213" s="217" t="str">
        <f ca="1">IF(C213=$X$4,"Enter smelter details",IF(ISERROR($V213),"",OFFSET('Smelter Look-up'!$F$4,$V213-4,0)))</f>
        <v>RMI</v>
      </c>
      <c r="H213" s="218" t="s">
        <v>16040</v>
      </c>
      <c r="I213" s="219" t="s">
        <v>14185</v>
      </c>
      <c r="J213" s="219" t="s">
        <v>6355</v>
      </c>
      <c r="K213" s="273"/>
      <c r="L213" s="273"/>
      <c r="M213" s="273"/>
      <c r="N213" s="273"/>
      <c r="O213" s="273" t="s">
        <v>15507</v>
      </c>
      <c r="P213" s="220"/>
      <c r="Q213" s="274"/>
      <c r="R213" s="217" t="str">
        <f ca="1">IF(ISERROR($V213),"",OFFSET('Smelter Look-up'!$C$4,$V213-4,0)&amp;"")</f>
        <v>Precious Minerals and Smelting Limited</v>
      </c>
      <c r="S213" s="225" t="str">
        <f t="shared" ca="1" si="30"/>
        <v>IN</v>
      </c>
      <c r="T213" s="225" t="str">
        <f ca="1">IF(B213="","",IF(ISERROR(MATCH($J213,SorP!$B$1:$B$6230,0)),"",INDIRECT("'SorP'!$A$"&amp;MATCH($J213,SorP!$B$1:$B$6230,0))))</f>
        <v>IN-CT</v>
      </c>
      <c r="U213" s="241"/>
      <c r="V213" s="275">
        <f>IF(C213="",NA(),MATCH($B213&amp;$C213,'Smelter Look-up'!$J:$J,0))</f>
        <v>437</v>
      </c>
      <c r="W213" s="276"/>
      <c r="X213" s="276">
        <f t="shared" si="31"/>
        <v>0</v>
      </c>
      <c r="Y213" s="276"/>
      <c r="Z213" s="276"/>
      <c r="AB213" s="278" t="str">
        <f t="shared" si="32"/>
        <v>TinPrecious Minerals and Smelting Limited</v>
      </c>
    </row>
    <row r="214" spans="1:28" s="277" customFormat="1" ht="100.8">
      <c r="A214" s="216" t="s">
        <v>14162</v>
      </c>
      <c r="B214" s="217" t="s">
        <v>1154</v>
      </c>
      <c r="C214" s="221" t="s">
        <v>14161</v>
      </c>
      <c r="D214" s="283" t="s">
        <v>14161</v>
      </c>
      <c r="E214" s="217" t="s">
        <v>1123</v>
      </c>
      <c r="F214" s="217" t="str">
        <f ca="1">IF(ISERROR($V214),"",OFFSET('Smelter Look-up'!$E$4,$V214-4,0))</f>
        <v>CID003397</v>
      </c>
      <c r="G214" s="217" t="str">
        <f ca="1">IF(C214=$X$4,"Enter smelter details",IF(ISERROR($V214),"",OFFSET('Smelter Look-up'!$F$4,$V214-4,0)))</f>
        <v>RMI</v>
      </c>
      <c r="H214" s="218" t="s">
        <v>16041</v>
      </c>
      <c r="I214" s="219" t="s">
        <v>2590</v>
      </c>
      <c r="J214" s="219" t="s">
        <v>13975</v>
      </c>
      <c r="K214" s="273"/>
      <c r="L214" s="273"/>
      <c r="M214" s="273"/>
      <c r="N214" s="273" t="s">
        <v>16042</v>
      </c>
      <c r="O214" s="273" t="s">
        <v>16043</v>
      </c>
      <c r="P214" s="220"/>
      <c r="Q214" s="274" t="s">
        <v>15513</v>
      </c>
      <c r="R214" s="217" t="str">
        <f ca="1">IF(ISERROR($V214),"",OFFSET('Smelter Look-up'!$C$4,$V214-4,0)&amp;"")</f>
        <v>Yunnan Yunfan Non-ferrous Metals Co., Ltd.</v>
      </c>
      <c r="S214" s="225" t="str">
        <f t="shared" ca="1" si="30"/>
        <v>CN</v>
      </c>
      <c r="T214" s="225" t="str">
        <f ca="1">IF(B214="","",IF(ISERROR(MATCH($J214,SorP!$B$1:$B$6230,0)),"",INDIRECT("'SorP'!$A$"&amp;MATCH($J214,SorP!$B$1:$B$6230,0))))</f>
        <v>CN-YN</v>
      </c>
      <c r="U214" s="241"/>
      <c r="V214" s="275">
        <f>IF(C214="",NA(),MATCH($B214&amp;$C214,'Smelter Look-up'!$J:$J,0))</f>
        <v>481</v>
      </c>
      <c r="W214" s="276"/>
      <c r="X214" s="276">
        <f t="shared" si="31"/>
        <v>0</v>
      </c>
      <c r="Y214" s="276"/>
      <c r="Z214" s="276"/>
      <c r="AB214" s="278" t="str">
        <f t="shared" si="32"/>
        <v>TinYunnan Yunfan Non-ferrous Metals Co., Ltd.</v>
      </c>
    </row>
    <row r="215" spans="1:28" s="277" customFormat="1" ht="63">
      <c r="A215" s="216" t="s">
        <v>14239</v>
      </c>
      <c r="B215" s="217" t="s">
        <v>1154</v>
      </c>
      <c r="C215" s="221" t="s">
        <v>14223</v>
      </c>
      <c r="D215" s="283" t="s">
        <v>14223</v>
      </c>
      <c r="E215" s="217" t="s">
        <v>13442</v>
      </c>
      <c r="F215" s="217" t="str">
        <f ca="1">IF(ISERROR($V215),"",OFFSET('Smelter Look-up'!$E$4,$V215-4,0))</f>
        <v>CID003387</v>
      </c>
      <c r="G215" s="217" t="str">
        <f ca="1">IF(C215=$X$4,"Enter smelter details",IF(ISERROR($V215),"",OFFSET('Smelter Look-up'!$F$4,$V215-4,0)))</f>
        <v>RMI</v>
      </c>
      <c r="H215" s="218" t="s">
        <v>16044</v>
      </c>
      <c r="I215" s="219" t="s">
        <v>14253</v>
      </c>
      <c r="J215" s="219" t="s">
        <v>10390</v>
      </c>
      <c r="K215" s="273"/>
      <c r="L215" s="273"/>
      <c r="M215" s="273"/>
      <c r="N215" s="273" t="s">
        <v>16045</v>
      </c>
      <c r="O215" s="273" t="s">
        <v>16046</v>
      </c>
      <c r="P215" s="220"/>
      <c r="Q215" s="274" t="s">
        <v>15513</v>
      </c>
      <c r="R215" s="217" t="str">
        <f ca="1">IF(ISERROR($V215),"",OFFSET('Smelter Look-up'!$C$4,$V215-4,0)&amp;"")</f>
        <v>Luna Smelter, Ltd.</v>
      </c>
      <c r="S215" s="225" t="str">
        <f t="shared" ca="1" si="30"/>
        <v>RW</v>
      </c>
      <c r="T215" s="225" t="str">
        <f ca="1">IF(B215="","",IF(ISERROR(MATCH($J215,SorP!$B$1:$B$6230,0)),"",INDIRECT("'SorP'!$A$"&amp;MATCH($J215,SorP!$B$1:$B$6230,0))))</f>
        <v>RW-01</v>
      </c>
      <c r="U215" s="241"/>
      <c r="V215" s="275">
        <f>IF(C215="",NA(),MATCH($B215&amp;$C215,'Smelter Look-up'!$J:$J,0))</f>
        <v>411</v>
      </c>
      <c r="W215" s="276"/>
      <c r="X215" s="276">
        <f t="shared" si="31"/>
        <v>0</v>
      </c>
      <c r="Y215" s="276"/>
      <c r="Z215" s="276"/>
      <c r="AB215" s="278" t="str">
        <f t="shared" si="32"/>
        <v>TinLuna Smelter, Ltd.</v>
      </c>
    </row>
    <row r="216" spans="1:28" s="277" customFormat="1" ht="88.2">
      <c r="A216" s="216" t="s">
        <v>14154</v>
      </c>
      <c r="B216" s="217" t="s">
        <v>1154</v>
      </c>
      <c r="C216" s="221" t="s">
        <v>14153</v>
      </c>
      <c r="D216" s="283" t="s">
        <v>14153</v>
      </c>
      <c r="E216" s="217" t="s">
        <v>1123</v>
      </c>
      <c r="F216" s="217" t="str">
        <f ca="1">IF(ISERROR($V216),"",OFFSET('Smelter Look-up'!$E$4,$V216-4,0))</f>
        <v>CID003379</v>
      </c>
      <c r="G216" s="217" t="str">
        <f ca="1">IF(C216=$X$4,"Enter smelter details",IF(ISERROR($V216),"",OFFSET('Smelter Look-up'!$F$4,$V216-4,0)))</f>
        <v>RMI</v>
      </c>
      <c r="H216" s="218" t="s">
        <v>16047</v>
      </c>
      <c r="I216" s="219" t="s">
        <v>14193</v>
      </c>
      <c r="J216" s="219" t="s">
        <v>13964</v>
      </c>
      <c r="K216" s="273"/>
      <c r="L216" s="273"/>
      <c r="M216" s="273"/>
      <c r="N216" s="273" t="s">
        <v>16048</v>
      </c>
      <c r="O216" s="273" t="s">
        <v>16049</v>
      </c>
      <c r="P216" s="220"/>
      <c r="Q216" s="274" t="s">
        <v>15513</v>
      </c>
      <c r="R216" s="217" t="str">
        <f ca="1">IF(ISERROR($V216),"",OFFSET('Smelter Look-up'!$C$4,$V216-4,0)&amp;"")</f>
        <v>Ma'anshan Weitai Tin Co., Ltd.</v>
      </c>
      <c r="S216" s="225" t="str">
        <f t="shared" ca="1" si="30"/>
        <v>CN</v>
      </c>
      <c r="T216" s="225" t="str">
        <f ca="1">IF(B216="","",IF(ISERROR(MATCH($J216,SorP!$B$1:$B$6230,0)),"",INDIRECT("'SorP'!$A$"&amp;MATCH($J216,SorP!$B$1:$B$6230,0))))</f>
        <v>CN-AH</v>
      </c>
      <c r="U216" s="241"/>
      <c r="V216" s="275">
        <f>IF(C216="",NA(),MATCH($B216&amp;$C216,'Smelter Look-up'!$J:$J,0))</f>
        <v>412</v>
      </c>
      <c r="W216" s="276"/>
      <c r="X216" s="276">
        <f t="shared" si="31"/>
        <v>0</v>
      </c>
      <c r="Y216" s="276"/>
      <c r="Z216" s="276"/>
      <c r="AB216" s="278" t="str">
        <f t="shared" si="32"/>
        <v>TinMa'anshan Weitai Tin Co., Ltd.</v>
      </c>
    </row>
    <row r="217" spans="1:28" s="277" customFormat="1" ht="100.8">
      <c r="A217" s="216" t="s">
        <v>14148</v>
      </c>
      <c r="B217" s="217" t="s">
        <v>1154</v>
      </c>
      <c r="C217" s="221" t="s">
        <v>14147</v>
      </c>
      <c r="D217" s="283" t="s">
        <v>14147</v>
      </c>
      <c r="E217" s="217" t="s">
        <v>1123</v>
      </c>
      <c r="F217" s="217" t="str">
        <f ca="1">IF(ISERROR($V217),"",OFFSET('Smelter Look-up'!$E$4,$V217-4,0))</f>
        <v>CID003356</v>
      </c>
      <c r="G217" s="217" t="str">
        <f ca="1">IF(C217=$X$4,"Enter smelter details",IF(ISERROR($V217),"",OFFSET('Smelter Look-up'!$F$4,$V217-4,0)))</f>
        <v>RMI</v>
      </c>
      <c r="H217" s="218" t="s">
        <v>16050</v>
      </c>
      <c r="I217" s="219" t="s">
        <v>14184</v>
      </c>
      <c r="J217" s="219" t="s">
        <v>13971</v>
      </c>
      <c r="K217" s="273"/>
      <c r="L217" s="273"/>
      <c r="M217" s="273"/>
      <c r="N217" s="273"/>
      <c r="O217" s="273" t="s">
        <v>16051</v>
      </c>
      <c r="P217" s="220"/>
      <c r="Q217" s="274"/>
      <c r="R217" s="217" t="str">
        <f ca="1">IF(ISERROR($V217),"",OFFSET('Smelter Look-up'!$C$4,$V217-4,0)&amp;"")</f>
        <v>Dongguan CiEXPO Environmental Engineering Co., Ltd.</v>
      </c>
      <c r="S217" s="225" t="str">
        <f t="shared" ca="1" si="30"/>
        <v>CN</v>
      </c>
      <c r="T217" s="225" t="str">
        <f ca="1">IF(B217="","",IF(ISERROR(MATCH($J217,SorP!$B$1:$B$6230,0)),"",INDIRECT("'SorP'!$A$"&amp;MATCH($J217,SorP!$B$1:$B$6230,0))))</f>
        <v>CN-GD</v>
      </c>
      <c r="U217" s="241"/>
      <c r="V217" s="275">
        <f>IF(C217="",NA(),MATCH($B217&amp;$C217,'Smelter Look-up'!$J:$J,0))</f>
        <v>373</v>
      </c>
      <c r="W217" s="276"/>
      <c r="X217" s="276">
        <f t="shared" si="31"/>
        <v>0</v>
      </c>
      <c r="Y217" s="276"/>
      <c r="Z217" s="276"/>
      <c r="AB217" s="278" t="str">
        <f t="shared" si="32"/>
        <v>TinDongguan CiEXPO Environmental Engineering Co., Ltd.</v>
      </c>
    </row>
    <row r="218" spans="1:28" s="277" customFormat="1" ht="113.4">
      <c r="A218" s="216" t="s">
        <v>13521</v>
      </c>
      <c r="B218" s="217" t="s">
        <v>1154</v>
      </c>
      <c r="C218" s="221" t="s">
        <v>13520</v>
      </c>
      <c r="D218" s="283" t="s">
        <v>13520</v>
      </c>
      <c r="E218" s="217" t="s">
        <v>2576</v>
      </c>
      <c r="F218" s="217" t="str">
        <f ca="1">IF(ISERROR($V218),"",OFFSET('Smelter Look-up'!$E$4,$V218-4,0))</f>
        <v>CID003325</v>
      </c>
      <c r="G218" s="217" t="str">
        <f ca="1">IF(C218=$X$4,"Enter smelter details",IF(ISERROR($V218),"",OFFSET('Smelter Look-up'!$F$4,$V218-4,0)))</f>
        <v>RMI</v>
      </c>
      <c r="H218" s="218" t="s">
        <v>16052</v>
      </c>
      <c r="I218" s="219" t="s">
        <v>13522</v>
      </c>
      <c r="J218" s="219" t="s">
        <v>1774</v>
      </c>
      <c r="K218" s="273"/>
      <c r="L218" s="273"/>
      <c r="M218" s="273"/>
      <c r="N218" s="273" t="s">
        <v>16053</v>
      </c>
      <c r="O218" s="273" t="s">
        <v>16054</v>
      </c>
      <c r="P218" s="220"/>
      <c r="Q218" s="274" t="s">
        <v>15513</v>
      </c>
      <c r="R218" s="217" t="str">
        <f ca="1">IF(ISERROR($V218),"",OFFSET('Smelter Look-up'!$C$4,$V218-4,0)&amp;"")</f>
        <v>Tin Technology &amp; Refining</v>
      </c>
      <c r="S218" s="225" t="str">
        <f t="shared" ca="1" si="30"/>
        <v>US</v>
      </c>
      <c r="T218" s="225" t="str">
        <f ca="1">IF(B218="","",IF(ISERROR(MATCH($J218,SorP!$B$1:$B$6230,0)),"",INDIRECT("'SorP'!$A$"&amp;MATCH($J218,SorP!$B$1:$B$6230,0))))</f>
        <v>US-PA</v>
      </c>
      <c r="U218" s="241"/>
      <c r="V218" s="275">
        <f>IF(C218="",NA(),MATCH($B218&amp;$C218,'Smelter Look-up'!$J:$J,0))</f>
        <v>461</v>
      </c>
      <c r="W218" s="276"/>
      <c r="X218" s="276">
        <f t="shared" si="31"/>
        <v>0</v>
      </c>
      <c r="Y218" s="276"/>
      <c r="Z218" s="276"/>
      <c r="AB218" s="278" t="str">
        <f t="shared" si="32"/>
        <v>TinTin Technology &amp; Refining</v>
      </c>
    </row>
    <row r="219" spans="1:28" s="277" customFormat="1" ht="88.2">
      <c r="A219" s="216" t="s">
        <v>13270</v>
      </c>
      <c r="B219" s="217" t="s">
        <v>1154</v>
      </c>
      <c r="C219" s="221" t="s">
        <v>13269</v>
      </c>
      <c r="D219" s="283" t="s">
        <v>13269</v>
      </c>
      <c r="E219" s="217" t="s">
        <v>1137</v>
      </c>
      <c r="F219" s="217" t="str">
        <f ca="1">IF(ISERROR($V219),"",OFFSET('Smelter Look-up'!$E$4,$V219-4,0))</f>
        <v>CID003208</v>
      </c>
      <c r="G219" s="217" t="str">
        <f ca="1">IF(C219=$X$4,"Enter smelter details",IF(ISERROR($V219),"",OFFSET('Smelter Look-up'!$F$4,$V219-4,0)))</f>
        <v>RMI</v>
      </c>
      <c r="H219" s="218" t="s">
        <v>16055</v>
      </c>
      <c r="I219" s="219" t="s">
        <v>8558</v>
      </c>
      <c r="J219" s="219" t="s">
        <v>8558</v>
      </c>
      <c r="K219" s="273"/>
      <c r="L219" s="273"/>
      <c r="M219" s="273"/>
      <c r="N219" s="273"/>
      <c r="O219" s="273" t="s">
        <v>16056</v>
      </c>
      <c r="P219" s="220"/>
      <c r="Q219" s="274"/>
      <c r="R219" s="217" t="str">
        <f ca="1">IF(ISERROR($V219),"",OFFSET('Smelter Look-up'!$C$4,$V219-4,0)&amp;"")</f>
        <v>Pongpipat Company Limited</v>
      </c>
      <c r="S219" s="225" t="str">
        <f t="shared" ca="1" si="30"/>
        <v>MM</v>
      </c>
      <c r="T219" s="225" t="str">
        <f ca="1">IF(B219="","",IF(ISERROR(MATCH($J219,SorP!$B$1:$B$6230,0)),"",INDIRECT("'SorP'!$A$"&amp;MATCH($J219,SorP!$B$1:$B$6230,0))))</f>
        <v>MM-06</v>
      </c>
      <c r="U219" s="241"/>
      <c r="V219" s="275">
        <f>IF(C219="",NA(),MATCH($B219&amp;$C219,'Smelter Look-up'!$J:$J,0))</f>
        <v>436</v>
      </c>
      <c r="W219" s="276"/>
      <c r="X219" s="276">
        <f t="shared" si="31"/>
        <v>0</v>
      </c>
      <c r="Y219" s="276"/>
      <c r="Z219" s="276"/>
      <c r="AB219" s="278" t="str">
        <f t="shared" si="32"/>
        <v>TinPongpipat Company Limited</v>
      </c>
    </row>
    <row r="220" spans="1:28" s="277" customFormat="1" ht="138.6">
      <c r="A220" s="216" t="s">
        <v>14412</v>
      </c>
      <c r="B220" s="217" t="s">
        <v>1154</v>
      </c>
      <c r="C220" s="221" t="s">
        <v>13271</v>
      </c>
      <c r="D220" s="283" t="s">
        <v>13271</v>
      </c>
      <c r="E220" s="217" t="s">
        <v>1128</v>
      </c>
      <c r="F220" s="217" t="str">
        <f ca="1">IF(ISERROR($V220),"",OFFSET('Smelter Look-up'!$E$4,$V220-4,0))</f>
        <v>CID003205</v>
      </c>
      <c r="G220" s="217" t="str">
        <f ca="1">IF(C220=$X$4,"Enter smelter details",IF(ISERROR($V220),"",OFFSET('Smelter Look-up'!$F$4,$V220-4,0)))</f>
        <v>RMI</v>
      </c>
      <c r="H220" s="218" t="s">
        <v>16036</v>
      </c>
      <c r="I220" s="219" t="s">
        <v>16037</v>
      </c>
      <c r="J220" s="219" t="s">
        <v>13183</v>
      </c>
      <c r="K220" s="273"/>
      <c r="L220" s="273"/>
      <c r="M220" s="273"/>
      <c r="N220" s="273" t="s">
        <v>15734</v>
      </c>
      <c r="O220" s="273" t="s">
        <v>16057</v>
      </c>
      <c r="P220" s="220"/>
      <c r="Q220" s="274" t="s">
        <v>15513</v>
      </c>
      <c r="R220" s="217" t="str">
        <f ca="1">IF(ISERROR($V220),"",OFFSET('Smelter Look-up'!$C$4,$V220-4,0)&amp;"")</f>
        <v>PT Bangka Serumpun</v>
      </c>
      <c r="S220" s="225" t="str">
        <f t="shared" ca="1" si="30"/>
        <v>ID</v>
      </c>
      <c r="T220" s="225" t="str">
        <f ca="1">IF(B220="","",IF(ISERROR(MATCH($J220,SorP!$B$1:$B$6230,0)),"",INDIRECT("'SorP'!$A$"&amp;MATCH($J220,SorP!$B$1:$B$6230,0))))</f>
        <v>ID-BB</v>
      </c>
      <c r="U220" s="241"/>
      <c r="V220" s="275">
        <f>IF(C220="",NA(),MATCH($B220&amp;$C220,'Smelter Look-up'!$J:$J,0))</f>
        <v>440</v>
      </c>
      <c r="W220" s="276"/>
      <c r="X220" s="276">
        <f t="shared" si="31"/>
        <v>0</v>
      </c>
      <c r="Y220" s="276"/>
      <c r="Z220" s="276"/>
      <c r="AB220" s="278" t="str">
        <f t="shared" si="32"/>
        <v>TinPT Bangka Serumpun</v>
      </c>
    </row>
    <row r="221" spans="1:28" s="277" customFormat="1" ht="151.19999999999999">
      <c r="A221" s="216" t="s">
        <v>13265</v>
      </c>
      <c r="B221" s="217" t="s">
        <v>1154</v>
      </c>
      <c r="C221" s="221" t="s">
        <v>13264</v>
      </c>
      <c r="D221" s="283" t="s">
        <v>13264</v>
      </c>
      <c r="E221" s="217" t="s">
        <v>1123</v>
      </c>
      <c r="F221" s="217" t="str">
        <f ca="1">IF(ISERROR($V221),"",OFFSET('Smelter Look-up'!$E$4,$V221-4,0))</f>
        <v>CID003190</v>
      </c>
      <c r="G221" s="217" t="str">
        <f ca="1">IF(C221=$X$4,"Enter smelter details",IF(ISERROR($V221),"",OFFSET('Smelter Look-up'!$F$4,$V221-4,0)))</f>
        <v>RMI</v>
      </c>
      <c r="H221" s="218" t="s">
        <v>16058</v>
      </c>
      <c r="I221" s="219" t="s">
        <v>13285</v>
      </c>
      <c r="J221" s="219" t="s">
        <v>13949</v>
      </c>
      <c r="K221" s="273"/>
      <c r="L221" s="273"/>
      <c r="M221" s="273"/>
      <c r="N221" s="273" t="s">
        <v>16059</v>
      </c>
      <c r="O221" s="273" t="s">
        <v>16060</v>
      </c>
      <c r="P221" s="220"/>
      <c r="Q221" s="274" t="s">
        <v>15513</v>
      </c>
      <c r="R221" s="217" t="str">
        <f ca="1">IF(ISERROR($V221),"",OFFSET('Smelter Look-up'!$C$4,$V221-4,0)&amp;"")</f>
        <v>Chifeng Dajingzi Tin Industry Co., Ltd.</v>
      </c>
      <c r="S221" s="225" t="str">
        <f t="shared" ca="1" si="30"/>
        <v>CN</v>
      </c>
      <c r="T221" s="225" t="str">
        <f ca="1">IF(B221="","",IF(ISERROR(MATCH($J221,SorP!$B$1:$B$6230,0)),"",INDIRECT("'SorP'!$A$"&amp;MATCH($J221,SorP!$B$1:$B$6230,0))))</f>
        <v>CN-NM</v>
      </c>
      <c r="U221" s="241"/>
      <c r="V221" s="275">
        <f>IF(C221="",NA(),MATCH($B221&amp;$C221,'Smelter Look-up'!$J:$J,0))</f>
        <v>365</v>
      </c>
      <c r="W221" s="276"/>
      <c r="X221" s="276">
        <f t="shared" si="31"/>
        <v>0</v>
      </c>
      <c r="Y221" s="276"/>
      <c r="Z221" s="276"/>
      <c r="AB221" s="278" t="str">
        <f t="shared" si="32"/>
        <v>TinChifeng Dajingzi Tin Industry Co., Ltd.</v>
      </c>
    </row>
    <row r="222" spans="1:28" s="277" customFormat="1" ht="189">
      <c r="A222" s="216" t="s">
        <v>2678</v>
      </c>
      <c r="B222" s="217" t="s">
        <v>1154</v>
      </c>
      <c r="C222" s="221" t="s">
        <v>2677</v>
      </c>
      <c r="D222" s="283" t="s">
        <v>2677</v>
      </c>
      <c r="E222" s="217" t="s">
        <v>1123</v>
      </c>
      <c r="F222" s="217" t="str">
        <f ca="1">IF(ISERROR($V222),"",OFFSET('Smelter Look-up'!$E$4,$V222-4,0))</f>
        <v>CID003116</v>
      </c>
      <c r="G222" s="217" t="str">
        <f ca="1">IF(C222=$X$4,"Enter smelter details",IF(ISERROR($V222),"",OFFSET('Smelter Look-up'!$F$4,$V222-4,0)))</f>
        <v>RMI</v>
      </c>
      <c r="H222" s="218" t="s">
        <v>16061</v>
      </c>
      <c r="I222" s="219" t="s">
        <v>1865</v>
      </c>
      <c r="J222" s="219" t="s">
        <v>13971</v>
      </c>
      <c r="K222" s="273"/>
      <c r="L222" s="273"/>
      <c r="M222" s="273"/>
      <c r="N222" s="273" t="s">
        <v>16062</v>
      </c>
      <c r="O222" s="273" t="s">
        <v>16063</v>
      </c>
      <c r="P222" s="220"/>
      <c r="Q222" s="274" t="s">
        <v>15513</v>
      </c>
      <c r="R222" s="217" t="str">
        <f ca="1">IF(ISERROR($V222),"",OFFSET('Smelter Look-up'!$C$4,$V222-4,0)&amp;"")</f>
        <v>Guangdong Hanhe Non-Ferrous Metal Co., Ltd.</v>
      </c>
      <c r="S222" s="225" t="str">
        <f t="shared" ca="1" si="30"/>
        <v>CN</v>
      </c>
      <c r="T222" s="225" t="str">
        <f ca="1">IF(B222="","",IF(ISERROR(MATCH($J222,SorP!$B$1:$B$6230,0)),"",INDIRECT("'SorP'!$A$"&amp;MATCH($J222,SorP!$B$1:$B$6230,0))))</f>
        <v>CN-GD</v>
      </c>
      <c r="U222" s="241"/>
      <c r="V222" s="275">
        <f>IF(C222="",NA(),MATCH($B222&amp;$C222,'Smelter Look-up'!$J:$J,0))</f>
        <v>395</v>
      </c>
      <c r="W222" s="276"/>
      <c r="X222" s="276">
        <f t="shared" si="31"/>
        <v>0</v>
      </c>
      <c r="Y222" s="276"/>
      <c r="Z222" s="276"/>
      <c r="AB222" s="278" t="str">
        <f t="shared" si="32"/>
        <v>TinGuangdong Hanhe Non-Ferrous Metal Co., Ltd.</v>
      </c>
    </row>
    <row r="223" spans="1:28" s="277" customFormat="1" ht="37.799999999999997">
      <c r="A223" s="216" t="s">
        <v>2474</v>
      </c>
      <c r="B223" s="217" t="s">
        <v>1154</v>
      </c>
      <c r="C223" s="221" t="s">
        <v>2436</v>
      </c>
      <c r="D223" s="283" t="s">
        <v>2436</v>
      </c>
      <c r="E223" s="217" t="s">
        <v>1138</v>
      </c>
      <c r="F223" s="217" t="str">
        <f ca="1">IF(ISERROR($V223),"",OFFSET('Smelter Look-up'!$E$4,$V223-4,0))</f>
        <v>CID002858</v>
      </c>
      <c r="G223" s="217" t="str">
        <f ca="1">IF(C223=$X$4,"Enter smelter details",IF(ISERROR($V223),"",OFFSET('Smelter Look-up'!$F$4,$V223-4,0)))</f>
        <v>RMI</v>
      </c>
      <c r="H223" s="218" t="s">
        <v>15554</v>
      </c>
      <c r="I223" s="219" t="s">
        <v>2478</v>
      </c>
      <c r="J223" s="219" t="s">
        <v>2479</v>
      </c>
      <c r="K223" s="273"/>
      <c r="L223" s="273"/>
      <c r="M223" s="273"/>
      <c r="N223" s="273"/>
      <c r="O223" s="273" t="s">
        <v>16064</v>
      </c>
      <c r="P223" s="220"/>
      <c r="Q223" s="274"/>
      <c r="R223" s="217" t="str">
        <f ca="1">IF(ISERROR($V223),"",OFFSET('Smelter Look-up'!$C$4,$V223-4,0)&amp;"")</f>
        <v>Modeltech Sdn Bhd</v>
      </c>
      <c r="S223" s="225" t="str">
        <f t="shared" ca="1" si="30"/>
        <v>MY</v>
      </c>
      <c r="T223" s="225" t="str">
        <f ca="1">IF(B223="","",IF(ISERROR(MATCH($J223,SorP!$B$1:$B$6230,0)),"",INDIRECT("'SorP'!$A$"&amp;MATCH($J223,SorP!$B$1:$B$6230,0))))</f>
        <v>MY-04</v>
      </c>
      <c r="U223" s="241"/>
      <c r="V223" s="275">
        <f>IF(C223="",NA(),MATCH($B223&amp;$C223,'Smelter Look-up'!$J:$J,0))</f>
        <v>426</v>
      </c>
      <c r="W223" s="276"/>
      <c r="X223" s="276">
        <f t="shared" si="31"/>
        <v>0</v>
      </c>
      <c r="Y223" s="276"/>
      <c r="Z223" s="276"/>
      <c r="AB223" s="278" t="str">
        <f t="shared" si="32"/>
        <v>TinModeltech Sdn Bhd</v>
      </c>
    </row>
    <row r="224" spans="1:28" s="277" customFormat="1" ht="126">
      <c r="A224" s="216" t="s">
        <v>2402</v>
      </c>
      <c r="B224" s="217" t="s">
        <v>1154</v>
      </c>
      <c r="C224" s="221" t="s">
        <v>2401</v>
      </c>
      <c r="D224" s="283" t="s">
        <v>2401</v>
      </c>
      <c r="E224" s="217" t="s">
        <v>1123</v>
      </c>
      <c r="F224" s="217" t="str">
        <f ca="1">IF(ISERROR($V224),"",OFFSET('Smelter Look-up'!$E$4,$V224-4,0))</f>
        <v>CID002844</v>
      </c>
      <c r="G224" s="217" t="str">
        <f ca="1">IF(C224=$X$4,"Enter smelter details",IF(ISERROR($V224),"",OFFSET('Smelter Look-up'!$F$4,$V224-4,0)))</f>
        <v>RMI</v>
      </c>
      <c r="H224" s="218" t="s">
        <v>16065</v>
      </c>
      <c r="I224" s="219" t="s">
        <v>1812</v>
      </c>
      <c r="J224" s="219" t="s">
        <v>13966</v>
      </c>
      <c r="K224" s="273"/>
      <c r="L224" s="273"/>
      <c r="M224" s="273"/>
      <c r="N224" s="273" t="s">
        <v>15538</v>
      </c>
      <c r="O224" s="273" t="s">
        <v>16066</v>
      </c>
      <c r="P224" s="220"/>
      <c r="Q224" s="274" t="s">
        <v>15513</v>
      </c>
      <c r="R224" s="217" t="str">
        <f ca="1">IF(ISERROR($V224),"",OFFSET('Smelter Look-up'!$C$4,$V224-4,0)&amp;"")</f>
        <v>HuiChang Hill Tin Industry Co., Ltd.</v>
      </c>
      <c r="S224" s="225" t="str">
        <f t="shared" ca="1" si="30"/>
        <v>CN</v>
      </c>
      <c r="T224" s="225" t="str">
        <f ca="1">IF(B224="","",IF(ISERROR(MATCH($J224,SorP!$B$1:$B$6230,0)),"",INDIRECT("'SorP'!$A$"&amp;MATCH($J224,SorP!$B$1:$B$6230,0))))</f>
        <v>CN-JX</v>
      </c>
      <c r="U224" s="241"/>
      <c r="V224" s="275">
        <f>IF(C224="",NA(),MATCH($B224&amp;$C224,'Smelter Look-up'!$J:$J,0))</f>
        <v>399</v>
      </c>
      <c r="W224" s="276"/>
      <c r="X224" s="276">
        <f t="shared" si="31"/>
        <v>0</v>
      </c>
      <c r="Y224" s="276"/>
      <c r="Z224" s="276"/>
      <c r="AB224" s="278" t="str">
        <f t="shared" si="32"/>
        <v>TinHuiChang Hill Tin Industry Co., Ltd.</v>
      </c>
    </row>
    <row r="225" spans="1:28" s="277" customFormat="1" ht="138.6">
      <c r="A225" s="216" t="s">
        <v>14160</v>
      </c>
      <c r="B225" s="217" t="s">
        <v>1154</v>
      </c>
      <c r="C225" s="221" t="s">
        <v>14159</v>
      </c>
      <c r="D225" s="283" t="s">
        <v>14159</v>
      </c>
      <c r="E225" s="217" t="s">
        <v>915</v>
      </c>
      <c r="F225" s="217" t="str">
        <f ca="1">IF(ISERROR($V225),"",OFFSET('Smelter Look-up'!$E$4,$V225-4,0))</f>
        <v>CID002834</v>
      </c>
      <c r="G225" s="217" t="str">
        <f ca="1">IF(C225=$X$4,"Enter smelter details",IF(ISERROR($V225),"",OFFSET('Smelter Look-up'!$F$4,$V225-4,0)))</f>
        <v>RMI</v>
      </c>
      <c r="H225" s="218" t="s">
        <v>16067</v>
      </c>
      <c r="I225" s="219" t="s">
        <v>14187</v>
      </c>
      <c r="J225" s="219" t="s">
        <v>12459</v>
      </c>
      <c r="K225" s="273"/>
      <c r="L225" s="273"/>
      <c r="M225" s="273"/>
      <c r="N225" s="273" t="s">
        <v>16068</v>
      </c>
      <c r="O225" s="273" t="s">
        <v>16069</v>
      </c>
      <c r="P225" s="220"/>
      <c r="Q225" s="274" t="s">
        <v>15513</v>
      </c>
      <c r="R225" s="217" t="str">
        <f ca="1">IF(ISERROR($V225),"",OFFSET('Smelter Look-up'!$C$4,$V225-4,0)&amp;"")</f>
        <v>Thai Nguyen Mining and Metallurgy Co., Ltd.</v>
      </c>
      <c r="S225" s="225" t="str">
        <f t="shared" ca="1" si="30"/>
        <v>VN</v>
      </c>
      <c r="T225" s="225" t="str">
        <f ca="1">IF(B225="","",IF(ISERROR(MATCH($J225,SorP!$B$1:$B$6230,0)),"",INDIRECT("'SorP'!$A$"&amp;MATCH($J225,SorP!$B$1:$B$6230,0))))</f>
        <v>VN-69</v>
      </c>
      <c r="U225" s="241"/>
      <c r="V225" s="275">
        <f>IF(C225="",NA(),MATCH($B225&amp;$C225,'Smelter Look-up'!$J:$J,0))</f>
        <v>455</v>
      </c>
      <c r="W225" s="276"/>
      <c r="X225" s="276">
        <f t="shared" si="31"/>
        <v>0</v>
      </c>
      <c r="Y225" s="276"/>
      <c r="Z225" s="276"/>
      <c r="AB225" s="278" t="str">
        <f t="shared" si="32"/>
        <v>TinThai Nguyen Mining and Metallurgy Co., Ltd.</v>
      </c>
    </row>
    <row r="226" spans="1:28" s="277" customFormat="1" ht="239.4">
      <c r="A226" s="216" t="s">
        <v>1858</v>
      </c>
      <c r="B226" s="217" t="s">
        <v>1154</v>
      </c>
      <c r="C226" s="221" t="s">
        <v>13268</v>
      </c>
      <c r="D226" s="283" t="s">
        <v>13268</v>
      </c>
      <c r="E226" s="217" t="s">
        <v>1125</v>
      </c>
      <c r="F226" s="217" t="str">
        <f ca="1">IF(ISERROR($V226),"",OFFSET('Smelter Look-up'!$E$4,$V226-4,0))</f>
        <v>CID002774</v>
      </c>
      <c r="G226" s="217" t="str">
        <f ca="1">IF(C226=$X$4,"Enter smelter details",IF(ISERROR($V226),"",OFFSET('Smelter Look-up'!$F$4,$V226-4,0)))</f>
        <v>RMI</v>
      </c>
      <c r="H226" s="218" t="s">
        <v>16070</v>
      </c>
      <c r="I226" s="219" t="s">
        <v>1859</v>
      </c>
      <c r="J226" s="219" t="s">
        <v>12739</v>
      </c>
      <c r="K226" s="273"/>
      <c r="L226" s="273"/>
      <c r="M226" s="273"/>
      <c r="N226" s="273" t="s">
        <v>16071</v>
      </c>
      <c r="O226" s="273" t="s">
        <v>16072</v>
      </c>
      <c r="P226" s="220"/>
      <c r="Q226" s="274" t="s">
        <v>15513</v>
      </c>
      <c r="R226" s="217" t="str">
        <f ca="1">IF(ISERROR($V226),"",OFFSET('Smelter Look-up'!$C$4,$V226-4,0)&amp;"")</f>
        <v>Metallo Spain S.L.U.</v>
      </c>
      <c r="S226" s="225" t="str">
        <f t="shared" ca="1" si="30"/>
        <v>ES</v>
      </c>
      <c r="T226" s="225" t="str">
        <f ca="1">IF(B226="","",IF(ISERROR(MATCH($J226,SorP!$B$1:$B$6230,0)),"",INDIRECT("'SorP'!$A$"&amp;MATCH($J226,SorP!$B$1:$B$6230,0))))</f>
        <v>ES-BI</v>
      </c>
      <c r="U226" s="241"/>
      <c r="V226" s="275">
        <f>IF(C226="",NA(),MATCH($B226&amp;$C226,'Smelter Look-up'!$J:$J,0))</f>
        <v>420</v>
      </c>
      <c r="W226" s="276"/>
      <c r="X226" s="276">
        <f t="shared" si="31"/>
        <v>0</v>
      </c>
      <c r="Y226" s="276"/>
      <c r="Z226" s="276"/>
      <c r="AB226" s="278" t="str">
        <f t="shared" si="32"/>
        <v>TinMetallo Spain S.L.U.</v>
      </c>
    </row>
    <row r="227" spans="1:28" s="277" customFormat="1" ht="340.2">
      <c r="A227" s="216" t="s">
        <v>1856</v>
      </c>
      <c r="B227" s="217" t="s">
        <v>1154</v>
      </c>
      <c r="C227" s="221" t="s">
        <v>13267</v>
      </c>
      <c r="D227" s="283" t="s">
        <v>13267</v>
      </c>
      <c r="E227" s="217" t="s">
        <v>1118</v>
      </c>
      <c r="F227" s="217" t="str">
        <f ca="1">IF(ISERROR($V227),"",OFFSET('Smelter Look-up'!$E$4,$V227-4,0))</f>
        <v>CID002773</v>
      </c>
      <c r="G227" s="217" t="str">
        <f ca="1">IF(C227=$X$4,"Enter smelter details",IF(ISERROR($V227),"",OFFSET('Smelter Look-up'!$F$4,$V227-4,0)))</f>
        <v>RMI</v>
      </c>
      <c r="H227" s="218" t="s">
        <v>16073</v>
      </c>
      <c r="I227" s="219" t="s">
        <v>1857</v>
      </c>
      <c r="J227" s="219" t="s">
        <v>3305</v>
      </c>
      <c r="K227" s="273"/>
      <c r="L227" s="273"/>
      <c r="M227" s="273"/>
      <c r="N227" s="273" t="s">
        <v>16074</v>
      </c>
      <c r="O227" s="273" t="s">
        <v>16075</v>
      </c>
      <c r="P227" s="220"/>
      <c r="Q227" s="274" t="s">
        <v>15513</v>
      </c>
      <c r="R227" s="217" t="str">
        <f ca="1">IF(ISERROR($V227),"",OFFSET('Smelter Look-up'!$C$4,$V227-4,0)&amp;"")</f>
        <v>Metallo Belgium N.V.</v>
      </c>
      <c r="S227" s="225" t="str">
        <f t="shared" ca="1" si="30"/>
        <v>BE</v>
      </c>
      <c r="T227" s="225" t="str">
        <f ca="1">IF(B227="","",IF(ISERROR(MATCH($J227,SorP!$B$1:$B$6230,0)),"",INDIRECT("'SorP'!$A$"&amp;MATCH($J227,SorP!$B$1:$B$6230,0))))</f>
        <v>BE-VAN</v>
      </c>
      <c r="U227" s="241"/>
      <c r="V227" s="275">
        <f>IF(C227="",NA(),MATCH($B227&amp;$C227,'Smelter Look-up'!$J:$J,0))</f>
        <v>419</v>
      </c>
      <c r="W227" s="276"/>
      <c r="X227" s="276">
        <f t="shared" si="31"/>
        <v>0</v>
      </c>
      <c r="Y227" s="276"/>
      <c r="Z227" s="276"/>
      <c r="AB227" s="278" t="str">
        <f t="shared" si="32"/>
        <v>TinMetallo Belgium N.V.</v>
      </c>
    </row>
    <row r="228" spans="1:28" s="277" customFormat="1" ht="63">
      <c r="A228" s="216" t="s">
        <v>2680</v>
      </c>
      <c r="B228" s="217" t="s">
        <v>1154</v>
      </c>
      <c r="C228" s="221" t="s">
        <v>2679</v>
      </c>
      <c r="D228" s="283" t="s">
        <v>2679</v>
      </c>
      <c r="E228" s="217" t="s">
        <v>1119</v>
      </c>
      <c r="F228" s="217" t="str">
        <f ca="1">IF(ISERROR($V228),"",OFFSET('Smelter Look-up'!$E$4,$V228-4,0))</f>
        <v>CID002756</v>
      </c>
      <c r="G228" s="217" t="str">
        <f ca="1">IF(C228=$X$4,"Enter smelter details",IF(ISERROR($V228),"",OFFSET('Smelter Look-up'!$F$4,$V228-4,0)))</f>
        <v>RMI</v>
      </c>
      <c r="H228" s="218" t="s">
        <v>16076</v>
      </c>
      <c r="I228" s="219" t="s">
        <v>2692</v>
      </c>
      <c r="J228" s="219" t="s">
        <v>1708</v>
      </c>
      <c r="K228" s="273"/>
      <c r="L228" s="273"/>
      <c r="M228" s="273"/>
      <c r="N228" s="273"/>
      <c r="O228" s="273" t="s">
        <v>16077</v>
      </c>
      <c r="P228" s="220"/>
      <c r="Q228" s="274"/>
      <c r="R228" s="217" t="str">
        <f ca="1">IF(ISERROR($V228),"",OFFSET('Smelter Look-up'!$C$4,$V228-4,0)&amp;"")</f>
        <v>Super Ligas</v>
      </c>
      <c r="S228" s="225" t="str">
        <f t="shared" ca="1" si="30"/>
        <v>BR</v>
      </c>
      <c r="T228" s="225" t="str">
        <f ca="1">IF(B228="","",IF(ISERROR(MATCH($J228,SorP!$B$1:$B$6230,0)),"",INDIRECT("'SorP'!$A$"&amp;MATCH($J228,SorP!$B$1:$B$6230,0))))</f>
        <v>BR-SP</v>
      </c>
      <c r="U228" s="241"/>
      <c r="V228" s="275">
        <f>IF(C228="",NA(),MATCH($B228&amp;$C228,'Smelter Look-up'!$J:$J,0))</f>
        <v>454</v>
      </c>
      <c r="W228" s="276"/>
      <c r="X228" s="276">
        <f t="shared" si="31"/>
        <v>0</v>
      </c>
      <c r="Y228" s="276"/>
      <c r="Z228" s="276"/>
      <c r="AB228" s="278" t="str">
        <f t="shared" si="32"/>
        <v>TinSuper Ligas</v>
      </c>
    </row>
    <row r="229" spans="1:28" s="277" customFormat="1" ht="214.2">
      <c r="A229" s="216" t="s">
        <v>1855</v>
      </c>
      <c r="B229" s="217" t="s">
        <v>1154</v>
      </c>
      <c r="C229" s="221" t="s">
        <v>12761</v>
      </c>
      <c r="D229" s="283" t="s">
        <v>12761</v>
      </c>
      <c r="E229" s="217" t="s">
        <v>1119</v>
      </c>
      <c r="F229" s="217" t="str">
        <f ca="1">IF(ISERROR($V229),"",OFFSET('Smelter Look-up'!$E$4,$V229-4,0))</f>
        <v>CID002706</v>
      </c>
      <c r="G229" s="217" t="str">
        <f ca="1">IF(C229=$X$4,"Enter smelter details",IF(ISERROR($V229),"",OFFSET('Smelter Look-up'!$F$4,$V229-4,0)))</f>
        <v>RMI</v>
      </c>
      <c r="H229" s="218" t="s">
        <v>15942</v>
      </c>
      <c r="I229" s="219" t="s">
        <v>15943</v>
      </c>
      <c r="J229" s="219" t="s">
        <v>1796</v>
      </c>
      <c r="K229" s="273"/>
      <c r="L229" s="273"/>
      <c r="M229" s="273"/>
      <c r="N229" s="273" t="s">
        <v>16078</v>
      </c>
      <c r="O229" s="273" t="s">
        <v>16079</v>
      </c>
      <c r="P229" s="220"/>
      <c r="Q229" s="274" t="s">
        <v>15513</v>
      </c>
      <c r="R229" s="217" t="str">
        <f ca="1">IF(ISERROR($V229),"",OFFSET('Smelter Look-up'!$C$4,$V229-4,0)&amp;"")</f>
        <v>Resind Industria e Comercio Ltda.</v>
      </c>
      <c r="S229" s="225" t="str">
        <f t="shared" ca="1" si="30"/>
        <v>BR</v>
      </c>
      <c r="T229" s="225" t="str">
        <f ca="1">IF(B229="","",IF(ISERROR(MATCH($J229,SorP!$B$1:$B$6230,0)),"",INDIRECT("'SorP'!$A$"&amp;MATCH($J229,SorP!$B$1:$B$6230,0))))</f>
        <v>BR-MG</v>
      </c>
      <c r="U229" s="241"/>
      <c r="V229" s="275">
        <f>IF(C229="",NA(),MATCH($B229&amp;$C229,'Smelter Look-up'!$J:$J,0))</f>
        <v>448</v>
      </c>
      <c r="W229" s="276"/>
      <c r="X229" s="276">
        <f t="shared" si="31"/>
        <v>0</v>
      </c>
      <c r="Y229" s="276"/>
      <c r="Z229" s="276"/>
      <c r="AB229" s="278" t="str">
        <f t="shared" si="32"/>
        <v>TinResind Industria e Comercio Ltda.</v>
      </c>
    </row>
    <row r="230" spans="1:28" s="277" customFormat="1" ht="113.4">
      <c r="A230" s="216" t="s">
        <v>2241</v>
      </c>
      <c r="B230" s="217" t="s">
        <v>1154</v>
      </c>
      <c r="C230" s="221" t="s">
        <v>2240</v>
      </c>
      <c r="D230" s="283" t="s">
        <v>2240</v>
      </c>
      <c r="E230" s="217" t="s">
        <v>915</v>
      </c>
      <c r="F230" s="217" t="str">
        <f ca="1">IF(ISERROR($V230),"",OFFSET('Smelter Look-up'!$E$4,$V230-4,0))</f>
        <v>CID002703</v>
      </c>
      <c r="G230" s="217" t="str">
        <f ca="1">IF(C230=$X$4,"Enter smelter details",IF(ISERROR($V230),"",OFFSET('Smelter Look-up'!$F$4,$V230-4,0)))</f>
        <v>RMI</v>
      </c>
      <c r="H230" s="218" t="s">
        <v>16080</v>
      </c>
      <c r="I230" s="219" t="s">
        <v>1851</v>
      </c>
      <c r="J230" s="219" t="s">
        <v>12453</v>
      </c>
      <c r="K230" s="273"/>
      <c r="L230" s="273"/>
      <c r="M230" s="273"/>
      <c r="N230" s="273"/>
      <c r="O230" s="273" t="s">
        <v>16081</v>
      </c>
      <c r="P230" s="220"/>
      <c r="Q230" s="274"/>
      <c r="R230" s="217" t="str">
        <f ca="1">IF(ISERROR($V230),"",OFFSET('Smelter Look-up'!$C$4,$V230-4,0)&amp;"")</f>
        <v>An Vinh Joint Stock Mineral Processing Company</v>
      </c>
      <c r="S230" s="225" t="str">
        <f t="shared" ref="S230:S260" ca="1" si="33">IF(B230="","",IF(ISERROR(MATCH($E230,CL,0)),"Unknown",INDIRECT("'C'!$A$"&amp;MATCH($E230,CL,0)+1)))</f>
        <v>VN</v>
      </c>
      <c r="T230" s="225" t="str">
        <f ca="1">IF(B230="","",IF(ISERROR(MATCH($J230,SorP!$B$1:$B$6230,0)),"",INDIRECT("'SorP'!$A$"&amp;MATCH($J230,SorP!$B$1:$B$6230,0))))</f>
        <v>VN-22</v>
      </c>
      <c r="U230" s="241"/>
      <c r="V230" s="275">
        <f>IF(C230="",NA(),MATCH($B230&amp;$C230,'Smelter Look-up'!$J:$J,0))</f>
        <v>360</v>
      </c>
      <c r="W230" s="276"/>
      <c r="X230" s="276">
        <f t="shared" ref="X230:X260" si="34">IF(AND(C230="Smelter not listed",OR(LEN(D230)=0,LEN(E230)=0)),1,0)</f>
        <v>0</v>
      </c>
      <c r="Y230" s="276"/>
      <c r="Z230" s="276"/>
      <c r="AB230" s="278" t="str">
        <f t="shared" ref="AB230:AB260" si="35">B230&amp;C230</f>
        <v>TinAn Vinh Joint Stock Mineral Processing Company</v>
      </c>
    </row>
    <row r="231" spans="1:28" s="277" customFormat="1" ht="113.4">
      <c r="A231" s="216" t="s">
        <v>1853</v>
      </c>
      <c r="B231" s="217" t="s">
        <v>1154</v>
      </c>
      <c r="C231" s="221" t="s">
        <v>1852</v>
      </c>
      <c r="D231" s="283" t="s">
        <v>1852</v>
      </c>
      <c r="E231" s="217" t="s">
        <v>915</v>
      </c>
      <c r="F231" s="217" t="str">
        <f ca="1">IF(ISERROR($V231),"",OFFSET('Smelter Look-up'!$E$4,$V231-4,0))</f>
        <v>CID002574</v>
      </c>
      <c r="G231" s="217" t="str">
        <f ca="1">IF(C231=$X$4,"Enter smelter details",IF(ISERROR($V231),"",OFFSET('Smelter Look-up'!$F$4,$V231-4,0)))</f>
        <v>RMI</v>
      </c>
      <c r="H231" s="218" t="s">
        <v>16082</v>
      </c>
      <c r="I231" s="219" t="s">
        <v>1854</v>
      </c>
      <c r="J231" s="219" t="s">
        <v>12481</v>
      </c>
      <c r="K231" s="273"/>
      <c r="L231" s="273"/>
      <c r="M231" s="273"/>
      <c r="N231" s="273"/>
      <c r="O231" s="273" t="s">
        <v>16083</v>
      </c>
      <c r="P231" s="220"/>
      <c r="Q231" s="274"/>
      <c r="R231" s="217" t="str">
        <f ca="1">IF(ISERROR($V231),"",OFFSET('Smelter Look-up'!$C$4,$V231-4,0)&amp;"")</f>
        <v>Tuyen Quang Non-Ferrous Metals Joint Stock Company</v>
      </c>
      <c r="S231" s="225" t="str">
        <f t="shared" ca="1" si="33"/>
        <v>VN</v>
      </c>
      <c r="T231" s="225" t="str">
        <f ca="1">IF(B231="","",IF(ISERROR(MATCH($J231,SorP!$B$1:$B$6230,0)),"",INDIRECT("'SorP'!$A$"&amp;MATCH($J231,SorP!$B$1:$B$6230,0))))</f>
        <v>VN-07</v>
      </c>
      <c r="U231" s="241"/>
      <c r="V231" s="275">
        <f>IF(C231="",NA(),MATCH($B231&amp;$C231,'Smelter Look-up'!$J:$J,0))</f>
        <v>463</v>
      </c>
      <c r="W231" s="276"/>
      <c r="X231" s="276">
        <f t="shared" si="34"/>
        <v>0</v>
      </c>
      <c r="Y231" s="276"/>
      <c r="Z231" s="276"/>
      <c r="AB231" s="278" t="str">
        <f t="shared" si="35"/>
        <v>TinTuyen Quang Non-Ferrous Metals Joint Stock Company</v>
      </c>
    </row>
    <row r="232" spans="1:28" s="277" customFormat="1" ht="100.8">
      <c r="A232" s="216" t="s">
        <v>1850</v>
      </c>
      <c r="B232" s="217" t="s">
        <v>1154</v>
      </c>
      <c r="C232" s="221" t="s">
        <v>1849</v>
      </c>
      <c r="D232" s="283" t="s">
        <v>1849</v>
      </c>
      <c r="E232" s="217" t="s">
        <v>915</v>
      </c>
      <c r="F232" s="217" t="str">
        <f ca="1">IF(ISERROR($V232),"",OFFSET('Smelter Look-up'!$E$4,$V232-4,0))</f>
        <v>CID002573</v>
      </c>
      <c r="G232" s="217" t="str">
        <f ca="1">IF(C232=$X$4,"Enter smelter details",IF(ISERROR($V232),"",OFFSET('Smelter Look-up'!$F$4,$V232-4,0)))</f>
        <v>RMI</v>
      </c>
      <c r="H232" s="218" t="s">
        <v>16080</v>
      </c>
      <c r="I232" s="219" t="s">
        <v>1851</v>
      </c>
      <c r="J232" s="219" t="s">
        <v>12453</v>
      </c>
      <c r="K232" s="273"/>
      <c r="L232" s="273"/>
      <c r="M232" s="273"/>
      <c r="N232" s="273"/>
      <c r="O232" s="273" t="s">
        <v>16084</v>
      </c>
      <c r="P232" s="220"/>
      <c r="Q232" s="274"/>
      <c r="R232" s="217" t="str">
        <f ca="1">IF(ISERROR($V232),"",OFFSET('Smelter Look-up'!$C$4,$V232-4,0)&amp;"")</f>
        <v>Nghe Tinh Non-Ferrous Metals Joint Stock Company</v>
      </c>
      <c r="S232" s="225" t="str">
        <f t="shared" ca="1" si="33"/>
        <v>VN</v>
      </c>
      <c r="T232" s="225" t="str">
        <f ca="1">IF(B232="","",IF(ISERROR(MATCH($J232,SorP!$B$1:$B$6230,0)),"",INDIRECT("'SorP'!$A$"&amp;MATCH($J232,SorP!$B$1:$B$6230,0))))</f>
        <v>VN-22</v>
      </c>
      <c r="U232" s="241"/>
      <c r="V232" s="275">
        <f>IF(C232="",NA(),MATCH($B232&amp;$C232,'Smelter Look-up'!$J:$J,0))</f>
        <v>430</v>
      </c>
      <c r="W232" s="276"/>
      <c r="X232" s="276">
        <f t="shared" si="34"/>
        <v>0</v>
      </c>
      <c r="Y232" s="276"/>
      <c r="Z232" s="276"/>
      <c r="AB232" s="278" t="str">
        <f t="shared" si="35"/>
        <v>TinNghe Tinh Non-Ferrous Metals Joint Stock Company</v>
      </c>
    </row>
    <row r="233" spans="1:28" s="277" customFormat="1" ht="189">
      <c r="A233" s="216" t="s">
        <v>1847</v>
      </c>
      <c r="B233" s="217" t="s">
        <v>1154</v>
      </c>
      <c r="C233" s="221" t="s">
        <v>1846</v>
      </c>
      <c r="D233" s="283" t="s">
        <v>1846</v>
      </c>
      <c r="E233" s="217" t="s">
        <v>915</v>
      </c>
      <c r="F233" s="217" t="str">
        <f ca="1">IF(ISERROR($V233),"",OFFSET('Smelter Look-up'!$E$4,$V233-4,0))</f>
        <v>CID002572</v>
      </c>
      <c r="G233" s="217" t="str">
        <f ca="1">IF(C233=$X$4,"Enter smelter details",IF(ISERROR($V233),"",OFFSET('Smelter Look-up'!$F$4,$V233-4,0)))</f>
        <v>RMI</v>
      </c>
      <c r="H233" s="218" t="s">
        <v>16085</v>
      </c>
      <c r="I233" s="219" t="s">
        <v>1848</v>
      </c>
      <c r="J233" s="219" t="s">
        <v>12503</v>
      </c>
      <c r="K233" s="273"/>
      <c r="L233" s="273"/>
      <c r="M233" s="273"/>
      <c r="N233" s="273"/>
      <c r="O233" s="273" t="s">
        <v>16086</v>
      </c>
      <c r="P233" s="220"/>
      <c r="Q233" s="274"/>
      <c r="R233" s="217" t="str">
        <f ca="1">IF(ISERROR($V233),"",OFFSET('Smelter Look-up'!$C$4,$V233-4,0)&amp;"")</f>
        <v>Electro-Mechanical Facility of the Cao Bang Minerals &amp; Metallurgy Joint Stock Company</v>
      </c>
      <c r="S233" s="225" t="str">
        <f t="shared" ca="1" si="33"/>
        <v>VN</v>
      </c>
      <c r="T233" s="225" t="str">
        <f ca="1">IF(B233="","",IF(ISERROR(MATCH($J233,SorP!$B$1:$B$6230,0)),"",INDIRECT("'SorP'!$A$"&amp;MATCH($J233,SorP!$B$1:$B$6230,0))))</f>
        <v>VN-04</v>
      </c>
      <c r="U233" s="241"/>
      <c r="V233" s="275">
        <f>IF(C233="",NA(),MATCH($B233&amp;$C233,'Smelter Look-up'!$J:$J,0))</f>
        <v>376</v>
      </c>
      <c r="W233" s="276"/>
      <c r="X233" s="276">
        <f t="shared" si="34"/>
        <v>0</v>
      </c>
      <c r="Y233" s="276"/>
      <c r="Z233" s="276"/>
      <c r="AB233" s="278" t="str">
        <f t="shared" si="35"/>
        <v>TinElectro-Mechanical Facility of the Cao Bang Minerals &amp; Metallurgy Joint Stock Company</v>
      </c>
    </row>
    <row r="234" spans="1:28" s="277" customFormat="1" ht="151.19999999999999">
      <c r="A234" s="216" t="s">
        <v>1425</v>
      </c>
      <c r="B234" s="217" t="s">
        <v>1154</v>
      </c>
      <c r="C234" s="221" t="s">
        <v>1424</v>
      </c>
      <c r="D234" s="283" t="s">
        <v>1424</v>
      </c>
      <c r="E234" s="217" t="s">
        <v>904</v>
      </c>
      <c r="F234" s="217" t="str">
        <f ca="1">IF(ISERROR($V234),"",OFFSET('Smelter Look-up'!$E$4,$V234-4,0))</f>
        <v>CID002517</v>
      </c>
      <c r="G234" s="217" t="str">
        <f ca="1">IF(C234=$X$4,"Enter smelter details",IF(ISERROR($V234),"",OFFSET('Smelter Look-up'!$F$4,$V234-4,0)))</f>
        <v>RMI</v>
      </c>
      <c r="H234" s="218" t="s">
        <v>16087</v>
      </c>
      <c r="I234" s="219" t="s">
        <v>13278</v>
      </c>
      <c r="J234" s="219" t="s">
        <v>9774</v>
      </c>
      <c r="K234" s="273"/>
      <c r="L234" s="273"/>
      <c r="M234" s="273"/>
      <c r="N234" s="273" t="s">
        <v>16088</v>
      </c>
      <c r="O234" s="273" t="s">
        <v>16089</v>
      </c>
      <c r="P234" s="220"/>
      <c r="Q234" s="274" t="s">
        <v>15513</v>
      </c>
      <c r="R234" s="217" t="str">
        <f ca="1">IF(ISERROR($V234),"",OFFSET('Smelter Look-up'!$C$4,$V234-4,0)&amp;"")</f>
        <v>O.M. Manufacturing Philippines, Inc.</v>
      </c>
      <c r="S234" s="225" t="str">
        <f t="shared" ca="1" si="33"/>
        <v>PH</v>
      </c>
      <c r="T234" s="225" t="str">
        <f ca="1">IF(B234="","",IF(ISERROR(MATCH($J234,SorP!$B$1:$B$6230,0)),"",INDIRECT("'SorP'!$A$"&amp;MATCH($J234,SorP!$B$1:$B$6230,0))))</f>
        <v>PH-CAV</v>
      </c>
      <c r="U234" s="241"/>
      <c r="V234" s="275">
        <f>IF(C234="",NA(),MATCH($B234&amp;$C234,'Smelter Look-up'!$J:$J,0))</f>
        <v>432</v>
      </c>
      <c r="W234" s="276"/>
      <c r="X234" s="276">
        <f t="shared" si="34"/>
        <v>0</v>
      </c>
      <c r="Y234" s="276"/>
      <c r="Z234" s="276"/>
      <c r="AB234" s="278" t="str">
        <f t="shared" si="35"/>
        <v>TinO.M. Manufacturing Philippines, Inc.</v>
      </c>
    </row>
    <row r="235" spans="1:28" s="277" customFormat="1" ht="252">
      <c r="A235" s="216" t="s">
        <v>1427</v>
      </c>
      <c r="B235" s="217" t="s">
        <v>1154</v>
      </c>
      <c r="C235" s="221" t="s">
        <v>1426</v>
      </c>
      <c r="D235" s="283" t="s">
        <v>1426</v>
      </c>
      <c r="E235" s="217" t="s">
        <v>1128</v>
      </c>
      <c r="F235" s="217" t="str">
        <f ca="1">IF(ISERROR($V235),"",OFFSET('Smelter Look-up'!$E$4,$V235-4,0))</f>
        <v>CID002503</v>
      </c>
      <c r="G235" s="217" t="str">
        <f ca="1">IF(C235=$X$4,"Enter smelter details",IF(ISERROR($V235),"",OFFSET('Smelter Look-up'!$F$4,$V235-4,0)))</f>
        <v>RMI</v>
      </c>
      <c r="H235" s="218" t="s">
        <v>16090</v>
      </c>
      <c r="I235" s="219" t="s">
        <v>1805</v>
      </c>
      <c r="J235" s="219" t="s">
        <v>13183</v>
      </c>
      <c r="K235" s="273"/>
      <c r="L235" s="273"/>
      <c r="M235" s="273"/>
      <c r="N235" s="273" t="s">
        <v>15538</v>
      </c>
      <c r="O235" s="273" t="s">
        <v>16091</v>
      </c>
      <c r="P235" s="220"/>
      <c r="Q235" s="274" t="s">
        <v>15513</v>
      </c>
      <c r="R235" s="217" t="str">
        <f ca="1">IF(ISERROR($V235),"",OFFSET('Smelter Look-up'!$C$4,$V235-4,0)&amp;"")</f>
        <v>PT ATD Makmur Mandiri Jaya</v>
      </c>
      <c r="S235" s="225" t="str">
        <f t="shared" ca="1" si="33"/>
        <v>ID</v>
      </c>
      <c r="T235" s="225" t="str">
        <f ca="1">IF(B235="","",IF(ISERROR(MATCH($J235,SorP!$B$1:$B$6230,0)),"",INDIRECT("'SorP'!$A$"&amp;MATCH($J235,SorP!$B$1:$B$6230,0))))</f>
        <v>ID-BB</v>
      </c>
      <c r="U235" s="241"/>
      <c r="V235" s="275">
        <f>IF(C235="",NA(),MATCH($B235&amp;$C235,'Smelter Look-up'!$J:$J,0))</f>
        <v>439</v>
      </c>
      <c r="W235" s="276"/>
      <c r="X235" s="276">
        <f t="shared" si="34"/>
        <v>0</v>
      </c>
      <c r="Y235" s="276"/>
      <c r="Z235" s="276"/>
      <c r="AB235" s="278" t="str">
        <f t="shared" si="35"/>
        <v>TinPT ATD Makmur Mandiri Jaya</v>
      </c>
    </row>
    <row r="236" spans="1:28" s="277" customFormat="1" ht="277.2">
      <c r="A236" s="216" t="s">
        <v>1349</v>
      </c>
      <c r="B236" s="217" t="s">
        <v>1154</v>
      </c>
      <c r="C236" s="221" t="s">
        <v>2468</v>
      </c>
      <c r="D236" s="283" t="s">
        <v>2468</v>
      </c>
      <c r="E236" s="217" t="s">
        <v>1119</v>
      </c>
      <c r="F236" s="217" t="str">
        <f ca="1">IF(ISERROR($V236),"",OFFSET('Smelter Look-up'!$E$4,$V236-4,0))</f>
        <v>CID002500</v>
      </c>
      <c r="G236" s="217" t="str">
        <f ca="1">IF(C236=$X$4,"Enter smelter details",IF(ISERROR($V236),"",OFFSET('Smelter Look-up'!$F$4,$V236-4,0)))</f>
        <v>RMI</v>
      </c>
      <c r="H236" s="218" t="s">
        <v>16092</v>
      </c>
      <c r="I236" s="219" t="s">
        <v>1804</v>
      </c>
      <c r="J236" s="219" t="s">
        <v>1808</v>
      </c>
      <c r="K236" s="273"/>
      <c r="L236" s="273"/>
      <c r="M236" s="273"/>
      <c r="N236" s="273" t="s">
        <v>16093</v>
      </c>
      <c r="O236" s="273" t="s">
        <v>16094</v>
      </c>
      <c r="P236" s="220"/>
      <c r="Q236" s="274" t="s">
        <v>15513</v>
      </c>
      <c r="R236" s="217" t="str">
        <f ca="1">IF(ISERROR($V236),"",OFFSET('Smelter Look-up'!$C$4,$V236-4,0)&amp;"")</f>
        <v>Melt Metais e Ligas S.A.</v>
      </c>
      <c r="S236" s="225" t="str">
        <f t="shared" ca="1" si="33"/>
        <v>BR</v>
      </c>
      <c r="T236" s="225" t="str">
        <f ca="1">IF(B236="","",IF(ISERROR(MATCH($J236,SorP!$B$1:$B$6230,0)),"",INDIRECT("'SorP'!$A$"&amp;MATCH($J236,SorP!$B$1:$B$6230,0))))</f>
        <v>BR-RO</v>
      </c>
      <c r="U236" s="241"/>
      <c r="V236" s="275">
        <f>IF(C236="",NA(),MATCH($B236&amp;$C236,'Smelter Look-up'!$J:$J,0))</f>
        <v>415</v>
      </c>
      <c r="W236" s="276"/>
      <c r="X236" s="276">
        <f t="shared" si="34"/>
        <v>0</v>
      </c>
      <c r="Y236" s="276"/>
      <c r="Z236" s="276"/>
      <c r="AB236" s="278" t="str">
        <f t="shared" si="35"/>
        <v>TinMelt Metais e Ligas S.A.</v>
      </c>
    </row>
    <row r="237" spans="1:28" s="277" customFormat="1" ht="264.60000000000002">
      <c r="A237" s="216" t="s">
        <v>142</v>
      </c>
      <c r="B237" s="217" t="s">
        <v>1154</v>
      </c>
      <c r="C237" s="221" t="s">
        <v>2274</v>
      </c>
      <c r="D237" s="283" t="s">
        <v>2274</v>
      </c>
      <c r="E237" s="217" t="s">
        <v>1119</v>
      </c>
      <c r="F237" s="217" t="str">
        <f ca="1">IF(ISERROR($V237),"",OFFSET('Smelter Look-up'!$E$4,$V237-4,0))</f>
        <v>CID002468</v>
      </c>
      <c r="G237" s="217" t="str">
        <f ca="1">IF(C237=$X$4,"Enter smelter details",IF(ISERROR($V237),"",OFFSET('Smelter Look-up'!$F$4,$V237-4,0)))</f>
        <v>RMI</v>
      </c>
      <c r="H237" s="218" t="s">
        <v>16095</v>
      </c>
      <c r="I237" s="219" t="s">
        <v>15943</v>
      </c>
      <c r="J237" s="219" t="s">
        <v>1577</v>
      </c>
      <c r="K237" s="273"/>
      <c r="L237" s="273"/>
      <c r="M237" s="273"/>
      <c r="N237" s="273" t="s">
        <v>16096</v>
      </c>
      <c r="O237" s="273" t="s">
        <v>16097</v>
      </c>
      <c r="P237" s="220"/>
      <c r="Q237" s="274" t="s">
        <v>15513</v>
      </c>
      <c r="R237" s="217" t="str">
        <f ca="1">IF(ISERROR($V237),"",OFFSET('Smelter Look-up'!$C$4,$V237-4,0)&amp;"")</f>
        <v>Magnu's Minerais Metais e Ligas Ltda.</v>
      </c>
      <c r="S237" s="225" t="str">
        <f t="shared" ca="1" si="33"/>
        <v>BR</v>
      </c>
      <c r="T237" s="225" t="str">
        <f ca="1">IF(B237="","",IF(ISERROR(MATCH($J237,SorP!$B$1:$B$6230,0)),"",INDIRECT("'SorP'!$A$"&amp;MATCH($J237,SorP!$B$1:$B$6230,0))))</f>
        <v>BR-MG</v>
      </c>
      <c r="U237" s="241"/>
      <c r="V237" s="275">
        <f>IF(C237="",NA(),MATCH($B237&amp;$C237,'Smelter Look-up'!$J:$J,0))</f>
        <v>413</v>
      </c>
      <c r="W237" s="276"/>
      <c r="X237" s="276">
        <f t="shared" si="34"/>
        <v>0</v>
      </c>
      <c r="Y237" s="276"/>
      <c r="Z237" s="276"/>
      <c r="AB237" s="278" t="str">
        <f t="shared" si="35"/>
        <v>TinMagnu's Minerais Metais e Ligas Ltda.</v>
      </c>
    </row>
    <row r="238" spans="1:28" s="277" customFormat="1" ht="315">
      <c r="A238" s="216" t="s">
        <v>809</v>
      </c>
      <c r="B238" s="217" t="s">
        <v>1154</v>
      </c>
      <c r="C238" s="221" t="s">
        <v>2471</v>
      </c>
      <c r="D238" s="283" t="s">
        <v>2471</v>
      </c>
      <c r="E238" s="217" t="s">
        <v>1123</v>
      </c>
      <c r="F238" s="217" t="str">
        <f ca="1">IF(ISERROR($V238),"",OFFSET('Smelter Look-up'!$E$4,$V238-4,0))</f>
        <v>CID002180</v>
      </c>
      <c r="G238" s="217" t="str">
        <f ca="1">IF(C238=$X$4,"Enter smelter details",IF(ISERROR($V238),"",OFFSET('Smelter Look-up'!$F$4,$V238-4,0)))</f>
        <v>RMI</v>
      </c>
      <c r="H238" s="218" t="s">
        <v>16041</v>
      </c>
      <c r="I238" s="219" t="s">
        <v>16098</v>
      </c>
      <c r="J238" s="219" t="s">
        <v>13975</v>
      </c>
      <c r="K238" s="273"/>
      <c r="L238" s="273"/>
      <c r="M238" s="273"/>
      <c r="N238" s="273" t="s">
        <v>16099</v>
      </c>
      <c r="O238" s="273" t="s">
        <v>16100</v>
      </c>
      <c r="P238" s="220"/>
      <c r="Q238" s="274" t="s">
        <v>15513</v>
      </c>
      <c r="R238" s="217" t="str">
        <f ca="1">IF(ISERROR($V238),"",OFFSET('Smelter Look-up'!$C$4,$V238-4,0)&amp;"")</f>
        <v>Yunnan Tin Company Limited</v>
      </c>
      <c r="S238" s="225" t="str">
        <f t="shared" ca="1" si="33"/>
        <v>CN</v>
      </c>
      <c r="T238" s="225" t="str">
        <f ca="1">IF(B238="","",IF(ISERROR(MATCH($J238,SorP!$B$1:$B$6230,0)),"",INDIRECT("'SorP'!$A$"&amp;MATCH($J238,SorP!$B$1:$B$6230,0))))</f>
        <v>CN-YN</v>
      </c>
      <c r="U238" s="241"/>
      <c r="V238" s="275">
        <f>IF(C238="",NA(),MATCH($B238&amp;$C238,'Smelter Look-up'!$J:$J,0))</f>
        <v>477</v>
      </c>
      <c r="W238" s="276"/>
      <c r="X238" s="276">
        <f t="shared" si="34"/>
        <v>0</v>
      </c>
      <c r="Y238" s="276"/>
      <c r="Z238" s="276"/>
      <c r="AB238" s="278" t="str">
        <f t="shared" si="35"/>
        <v>TinYunnan Tin Company Limited</v>
      </c>
    </row>
    <row r="239" spans="1:28" s="277" customFormat="1" ht="151.19999999999999">
      <c r="A239" s="216" t="s">
        <v>808</v>
      </c>
      <c r="B239" s="217" t="s">
        <v>1154</v>
      </c>
      <c r="C239" s="221" t="s">
        <v>2273</v>
      </c>
      <c r="D239" s="283" t="s">
        <v>2273</v>
      </c>
      <c r="E239" s="217" t="s">
        <v>1123</v>
      </c>
      <c r="F239" s="217" t="str">
        <f ca="1">IF(ISERROR($V239),"",OFFSET('Smelter Look-up'!$E$4,$V239-4,0))</f>
        <v>CID002158</v>
      </c>
      <c r="G239" s="217" t="str">
        <f ca="1">IF(C239=$X$4,"Enter smelter details",IF(ISERROR($V239),"",OFFSET('Smelter Look-up'!$F$4,$V239-4,0)))</f>
        <v>RMI</v>
      </c>
      <c r="H239" s="218" t="s">
        <v>16041</v>
      </c>
      <c r="I239" s="219" t="s">
        <v>2590</v>
      </c>
      <c r="J239" s="219" t="s">
        <v>13975</v>
      </c>
      <c r="K239" s="273"/>
      <c r="L239" s="273"/>
      <c r="M239" s="273"/>
      <c r="N239" s="273" t="s">
        <v>16101</v>
      </c>
      <c r="O239" s="273" t="s">
        <v>16102</v>
      </c>
      <c r="P239" s="220"/>
      <c r="Q239" s="274" t="s">
        <v>15513</v>
      </c>
      <c r="R239" s="217" t="str">
        <f ca="1">IF(ISERROR($V239),"",OFFSET('Smelter Look-up'!$C$4,$V239-4,0)&amp;"")</f>
        <v>Yunnan Chengfeng Non-ferrous Metals Co., Ltd.</v>
      </c>
      <c r="S239" s="225" t="str">
        <f t="shared" ca="1" si="33"/>
        <v>CN</v>
      </c>
      <c r="T239" s="225" t="str">
        <f ca="1">IF(B239="","",IF(ISERROR(MATCH($J239,SorP!$B$1:$B$6230,0)),"",INDIRECT("'SorP'!$A$"&amp;MATCH($J239,SorP!$B$1:$B$6230,0))))</f>
        <v>CN-YN</v>
      </c>
      <c r="U239" s="241"/>
      <c r="V239" s="275">
        <f>IF(C239="",NA(),MATCH($B239&amp;$C239,'Smelter Look-up'!$J:$J,0))</f>
        <v>473</v>
      </c>
      <c r="W239" s="276"/>
      <c r="X239" s="276">
        <f t="shared" si="34"/>
        <v>0</v>
      </c>
      <c r="Y239" s="276"/>
      <c r="Z239" s="276"/>
      <c r="AB239" s="278" t="str">
        <f t="shared" si="35"/>
        <v>TinYunnan Chengfeng Non-ferrous Metals Co., Ltd.</v>
      </c>
    </row>
    <row r="240" spans="1:28" s="277" customFormat="1" ht="252">
      <c r="A240" s="216" t="s">
        <v>807</v>
      </c>
      <c r="B240" s="217" t="s">
        <v>1154</v>
      </c>
      <c r="C240" s="221" t="s">
        <v>2681</v>
      </c>
      <c r="D240" s="283" t="s">
        <v>2681</v>
      </c>
      <c r="E240" s="217" t="s">
        <v>1119</v>
      </c>
      <c r="F240" s="217" t="str">
        <f ca="1">IF(ISERROR($V240),"",OFFSET('Smelter Look-up'!$E$4,$V240-4,0))</f>
        <v>CID002036</v>
      </c>
      <c r="G240" s="217" t="str">
        <f ca="1">IF(C240=$X$4,"Enter smelter details",IF(ISERROR($V240),"",OFFSET('Smelter Look-up'!$F$4,$V240-4,0)))</f>
        <v>RMI</v>
      </c>
      <c r="H240" s="218" t="s">
        <v>16092</v>
      </c>
      <c r="I240" s="219" t="s">
        <v>1804</v>
      </c>
      <c r="J240" s="219" t="s">
        <v>1808</v>
      </c>
      <c r="K240" s="273"/>
      <c r="L240" s="273"/>
      <c r="M240" s="273"/>
      <c r="N240" s="273" t="s">
        <v>16103</v>
      </c>
      <c r="O240" s="273" t="s">
        <v>16104</v>
      </c>
      <c r="P240" s="220"/>
      <c r="Q240" s="274" t="s">
        <v>15513</v>
      </c>
      <c r="R240" s="217" t="str">
        <f ca="1">IF(ISERROR($V240),"",OFFSET('Smelter Look-up'!$C$4,$V240-4,0)&amp;"")</f>
        <v>White Solder Metalurgia e Mineracao Ltda.</v>
      </c>
      <c r="S240" s="225" t="str">
        <f t="shared" ca="1" si="33"/>
        <v>BR</v>
      </c>
      <c r="T240" s="225" t="str">
        <f ca="1">IF(B240="","",IF(ISERROR(MATCH($J240,SorP!$B$1:$B$6230,0)),"",INDIRECT("'SorP'!$A$"&amp;MATCH($J240,SorP!$B$1:$B$6230,0))))</f>
        <v>BR-RO</v>
      </c>
      <c r="U240" s="241"/>
      <c r="V240" s="275">
        <f>IF(C240="",NA(),MATCH($B240&amp;$C240,'Smelter Look-up'!$J:$J,0))</f>
        <v>465</v>
      </c>
      <c r="W240" s="276"/>
      <c r="X240" s="276">
        <f t="shared" si="34"/>
        <v>0</v>
      </c>
      <c r="Y240" s="276"/>
      <c r="Z240" s="276"/>
      <c r="AB240" s="278" t="str">
        <f t="shared" si="35"/>
        <v>TinWhite Solder Metalurgia e Mineracao Ltda.</v>
      </c>
    </row>
    <row r="241" spans="1:28" s="277" customFormat="1" ht="189">
      <c r="A241" s="216" t="s">
        <v>1840</v>
      </c>
      <c r="B241" s="217" t="s">
        <v>1154</v>
      </c>
      <c r="C241" s="221" t="s">
        <v>1839</v>
      </c>
      <c r="D241" s="283" t="s">
        <v>1839</v>
      </c>
      <c r="E241" s="217" t="s">
        <v>1123</v>
      </c>
      <c r="F241" s="217" t="str">
        <f ca="1">IF(ISERROR($V241),"",OFFSET('Smelter Look-up'!$E$4,$V241-4,0))</f>
        <v>CID001908</v>
      </c>
      <c r="G241" s="217" t="str">
        <f ca="1">IF(C241=$X$4,"Enter smelter details",IF(ISERROR($V241),"",OFFSET('Smelter Look-up'!$F$4,$V241-4,0)))</f>
        <v>RMI</v>
      </c>
      <c r="H241" s="218" t="s">
        <v>16105</v>
      </c>
      <c r="I241" s="219" t="s">
        <v>16098</v>
      </c>
      <c r="J241" s="219" t="s">
        <v>13975</v>
      </c>
      <c r="K241" s="273"/>
      <c r="L241" s="273"/>
      <c r="M241" s="273"/>
      <c r="N241" s="273" t="s">
        <v>16106</v>
      </c>
      <c r="O241" s="273" t="s">
        <v>16107</v>
      </c>
      <c r="P241" s="220"/>
      <c r="Q241" s="274" t="s">
        <v>15513</v>
      </c>
      <c r="R241" s="217" t="str">
        <f ca="1">IF(ISERROR($V241),"",OFFSET('Smelter Look-up'!$C$4,$V241-4,0)&amp;"")</f>
        <v>Gejiu Yunxin Nonferrous Electrolysis Co., Ltd.</v>
      </c>
      <c r="S241" s="225" t="str">
        <f t="shared" ca="1" si="33"/>
        <v>CN</v>
      </c>
      <c r="T241" s="225" t="str">
        <f ca="1">IF(B241="","",IF(ISERROR(MATCH($J241,SorP!$B$1:$B$6230,0)),"",INDIRECT("'SorP'!$A$"&amp;MATCH($J241,SorP!$B$1:$B$6230,0))))</f>
        <v>CN-YN</v>
      </c>
      <c r="U241" s="241"/>
      <c r="V241" s="275">
        <f>IF(C241="",NA(),MATCH($B241&amp;$C241,'Smelter Look-up'!$J:$J,0))</f>
        <v>390</v>
      </c>
      <c r="W241" s="276"/>
      <c r="X241" s="276">
        <f t="shared" si="34"/>
        <v>0</v>
      </c>
      <c r="Y241" s="276"/>
      <c r="Z241" s="276"/>
      <c r="AB241" s="278" t="str">
        <f t="shared" si="35"/>
        <v>TinGejiu Yunxin Nonferrous Electrolysis Co., Ltd.</v>
      </c>
    </row>
    <row r="242" spans="1:28" s="277" customFormat="1" ht="409.6">
      <c r="A242" s="216" t="s">
        <v>806</v>
      </c>
      <c r="B242" s="217" t="s">
        <v>1154</v>
      </c>
      <c r="C242" s="221" t="s">
        <v>1054</v>
      </c>
      <c r="D242" s="283" t="s">
        <v>1054</v>
      </c>
      <c r="E242" s="217" t="s">
        <v>911</v>
      </c>
      <c r="F242" s="217" t="str">
        <f ca="1">IF(ISERROR($V242),"",OFFSET('Smelter Look-up'!$E$4,$V242-4,0))</f>
        <v>CID001898</v>
      </c>
      <c r="G242" s="217" t="str">
        <f ca="1">IF(C242=$X$4,"Enter smelter details",IF(ISERROR($V242),"",OFFSET('Smelter Look-up'!$F$4,$V242-4,0)))</f>
        <v>RMI</v>
      </c>
      <c r="H242" s="218" t="s">
        <v>16108</v>
      </c>
      <c r="I242" s="219" t="s">
        <v>1836</v>
      </c>
      <c r="J242" s="219" t="s">
        <v>1837</v>
      </c>
      <c r="K242" s="273"/>
      <c r="L242" s="273"/>
      <c r="M242" s="273"/>
      <c r="N242" s="273" t="s">
        <v>16109</v>
      </c>
      <c r="O242" s="273" t="s">
        <v>16110</v>
      </c>
      <c r="P242" s="220"/>
      <c r="Q242" s="274" t="s">
        <v>15513</v>
      </c>
      <c r="R242" s="217" t="str">
        <f ca="1">IF(ISERROR($V242),"",OFFSET('Smelter Look-up'!$C$4,$V242-4,0)&amp;"")</f>
        <v>Thaisarco</v>
      </c>
      <c r="S242" s="225" t="str">
        <f t="shared" ca="1" si="33"/>
        <v>TH</v>
      </c>
      <c r="T242" s="225" t="str">
        <f ca="1">IF(B242="","",IF(ISERROR(MATCH($J242,SorP!$B$1:$B$6230,0)),"",INDIRECT("'SorP'!$A$"&amp;MATCH($J242,SorP!$B$1:$B$6230,0))))</f>
        <v>TH-83</v>
      </c>
      <c r="U242" s="241"/>
      <c r="V242" s="275">
        <f>IF(C242="",NA(),MATCH($B242&amp;$C242,'Smelter Look-up'!$J:$J,0))</f>
        <v>458</v>
      </c>
      <c r="W242" s="276"/>
      <c r="X242" s="276">
        <f t="shared" si="34"/>
        <v>0</v>
      </c>
      <c r="Y242" s="276"/>
      <c r="Z242" s="276"/>
      <c r="AB242" s="278" t="str">
        <f t="shared" si="35"/>
        <v>TinThaisarco</v>
      </c>
    </row>
    <row r="243" spans="1:28" s="277" customFormat="1" ht="277.2">
      <c r="A243" s="216" t="s">
        <v>805</v>
      </c>
      <c r="B243" s="217" t="s">
        <v>1154</v>
      </c>
      <c r="C243" s="221" t="s">
        <v>2267</v>
      </c>
      <c r="D243" s="283" t="s">
        <v>2267</v>
      </c>
      <c r="E243" s="217" t="s">
        <v>1119</v>
      </c>
      <c r="F243" s="217" t="str">
        <f ca="1">IF(ISERROR($V243),"",OFFSET('Smelter Look-up'!$E$4,$V243-4,0))</f>
        <v>CID001758</v>
      </c>
      <c r="G243" s="217" t="str">
        <f ca="1">IF(C243=$X$4,"Enter smelter details",IF(ISERROR($V243),"",OFFSET('Smelter Look-up'!$F$4,$V243-4,0)))</f>
        <v>RMI</v>
      </c>
      <c r="H243" s="218" t="s">
        <v>16111</v>
      </c>
      <c r="I243" s="219" t="s">
        <v>1835</v>
      </c>
      <c r="J243" s="219" t="s">
        <v>1708</v>
      </c>
      <c r="K243" s="273"/>
      <c r="L243" s="273"/>
      <c r="M243" s="273"/>
      <c r="N243" s="273" t="s">
        <v>16112</v>
      </c>
      <c r="O243" s="273" t="s">
        <v>16113</v>
      </c>
      <c r="P243" s="220"/>
      <c r="Q243" s="274" t="s">
        <v>15513</v>
      </c>
      <c r="R243" s="217" t="str">
        <f ca="1">IF(ISERROR($V243),"",OFFSET('Smelter Look-up'!$C$4,$V243-4,0)&amp;"")</f>
        <v>Soft Metais Ltda.</v>
      </c>
      <c r="S243" s="225" t="str">
        <f t="shared" ca="1" si="33"/>
        <v>BR</v>
      </c>
      <c r="T243" s="225" t="str">
        <f ca="1">IF(B243="","",IF(ISERROR(MATCH($J243,SorP!$B$1:$B$6230,0)),"",INDIRECT("'SorP'!$A$"&amp;MATCH($J243,SorP!$B$1:$B$6230,0))))</f>
        <v>BR-SP</v>
      </c>
      <c r="U243" s="241"/>
      <c r="V243" s="275">
        <f>IF(C243="",NA(),MATCH($B243&amp;$C243,'Smelter Look-up'!$J:$J,0))</f>
        <v>453</v>
      </c>
      <c r="W243" s="276"/>
      <c r="X243" s="276">
        <f t="shared" si="34"/>
        <v>0</v>
      </c>
      <c r="Y243" s="276"/>
      <c r="Z243" s="276"/>
      <c r="AB243" s="278" t="str">
        <f t="shared" si="35"/>
        <v>TinSoft Metais Ltda.</v>
      </c>
    </row>
    <row r="244" spans="1:28" s="277" customFormat="1" ht="201.6">
      <c r="A244" s="216" t="s">
        <v>804</v>
      </c>
      <c r="B244" s="217" t="s">
        <v>1154</v>
      </c>
      <c r="C244" s="221" t="s">
        <v>803</v>
      </c>
      <c r="D244" s="283" t="s">
        <v>803</v>
      </c>
      <c r="E244" s="217" t="s">
        <v>2575</v>
      </c>
      <c r="F244" s="217" t="str">
        <f ca="1">IF(ISERROR($V244),"",OFFSET('Smelter Look-up'!$E$4,$V244-4,0))</f>
        <v>CID001539</v>
      </c>
      <c r="G244" s="217" t="str">
        <f ca="1">IF(C244=$X$4,"Enter smelter details",IF(ISERROR($V244),"",OFFSET('Smelter Look-up'!$F$4,$V244-4,0)))</f>
        <v>RMI</v>
      </c>
      <c r="H244" s="218" t="s">
        <v>16114</v>
      </c>
      <c r="I244" s="219" t="s">
        <v>1736</v>
      </c>
      <c r="J244" s="219" t="s">
        <v>1736</v>
      </c>
      <c r="K244" s="273"/>
      <c r="L244" s="273"/>
      <c r="M244" s="273"/>
      <c r="N244" s="273" t="s">
        <v>16115</v>
      </c>
      <c r="O244" s="273" t="s">
        <v>16116</v>
      </c>
      <c r="P244" s="220"/>
      <c r="Q244" s="274" t="s">
        <v>15513</v>
      </c>
      <c r="R244" s="217" t="str">
        <f ca="1">IF(ISERROR($V244),"",OFFSET('Smelter Look-up'!$C$4,$V244-4,0)&amp;"")</f>
        <v>Rui Da Hung</v>
      </c>
      <c r="S244" s="225" t="str">
        <f t="shared" ca="1" si="33"/>
        <v>TW</v>
      </c>
      <c r="T244" s="225" t="str">
        <f ca="1">IF(B244="","",IF(ISERROR(MATCH($J244,SorP!$B$1:$B$6230,0)),"",INDIRECT("'SorP'!$A$"&amp;MATCH($J244,SorP!$B$1:$B$6230,0))))</f>
        <v>TW-TAO</v>
      </c>
      <c r="U244" s="241"/>
      <c r="V244" s="275">
        <f>IF(C244="",NA(),MATCH($B244&amp;$C244,'Smelter Look-up'!$J:$J,0))</f>
        <v>450</v>
      </c>
      <c r="W244" s="276"/>
      <c r="X244" s="276">
        <f t="shared" si="34"/>
        <v>0</v>
      </c>
      <c r="Y244" s="276"/>
      <c r="Z244" s="276"/>
      <c r="AB244" s="278" t="str">
        <f t="shared" si="35"/>
        <v>TinRui Da Hung</v>
      </c>
    </row>
    <row r="245" spans="1:28" s="277" customFormat="1" ht="226.8">
      <c r="A245" s="216" t="s">
        <v>802</v>
      </c>
      <c r="B245" s="217" t="s">
        <v>1154</v>
      </c>
      <c r="C245" s="221" t="s">
        <v>14151</v>
      </c>
      <c r="D245" s="283" t="s">
        <v>14151</v>
      </c>
      <c r="E245" s="217" t="s">
        <v>1128</v>
      </c>
      <c r="F245" s="217" t="str">
        <f ca="1">IF(ISERROR($V245),"",OFFSET('Smelter Look-up'!$E$4,$V245-4,0))</f>
        <v>CID001482</v>
      </c>
      <c r="G245" s="217" t="str">
        <f ca="1">IF(C245=$X$4,"Enter smelter details",IF(ISERROR($V245),"",OFFSET('Smelter Look-up'!$F$4,$V245-4,0)))</f>
        <v>RMI</v>
      </c>
      <c r="H245" s="218" t="s">
        <v>16117</v>
      </c>
      <c r="I245" s="219" t="s">
        <v>1834</v>
      </c>
      <c r="J245" s="219" t="s">
        <v>13183</v>
      </c>
      <c r="K245" s="273"/>
      <c r="L245" s="273"/>
      <c r="M245" s="273"/>
      <c r="N245" s="273" t="s">
        <v>16118</v>
      </c>
      <c r="O245" s="273" t="s">
        <v>16119</v>
      </c>
      <c r="P245" s="220"/>
      <c r="Q245" s="274" t="s">
        <v>15513</v>
      </c>
      <c r="R245" s="217" t="str">
        <f ca="1">IF(ISERROR($V245),"",OFFSET('Smelter Look-up'!$C$4,$V245-4,0)&amp;"")</f>
        <v>PT Timah Tbk Mentok</v>
      </c>
      <c r="S245" s="225" t="str">
        <f t="shared" ca="1" si="33"/>
        <v>ID</v>
      </c>
      <c r="T245" s="225" t="str">
        <f ca="1">IF(B245="","",IF(ISERROR(MATCH($J245,SorP!$B$1:$B$6230,0)),"",INDIRECT("'SorP'!$A$"&amp;MATCH($J245,SorP!$B$1:$B$6230,0))))</f>
        <v>ID-BB</v>
      </c>
      <c r="U245" s="241"/>
      <c r="V245" s="275">
        <f>IF(C245="",NA(),MATCH($B245&amp;$C245,'Smelter Look-up'!$J:$J,0))</f>
        <v>446</v>
      </c>
      <c r="W245" s="276"/>
      <c r="X245" s="276">
        <f t="shared" si="34"/>
        <v>0</v>
      </c>
      <c r="Y245" s="276"/>
      <c r="Z245" s="276"/>
      <c r="AB245" s="278" t="str">
        <f t="shared" si="35"/>
        <v>TinPT Timah Tbk Mentok</v>
      </c>
    </row>
    <row r="246" spans="1:28" s="277" customFormat="1" ht="201.6">
      <c r="A246" s="216" t="s">
        <v>824</v>
      </c>
      <c r="B246" s="217" t="s">
        <v>1154</v>
      </c>
      <c r="C246" s="221" t="s">
        <v>14152</v>
      </c>
      <c r="D246" s="283" t="s">
        <v>14152</v>
      </c>
      <c r="E246" s="217" t="s">
        <v>1128</v>
      </c>
      <c r="F246" s="217" t="str">
        <f ca="1">IF(ISERROR($V246),"",OFFSET('Smelter Look-up'!$E$4,$V246-4,0))</f>
        <v>CID001477</v>
      </c>
      <c r="G246" s="217" t="str">
        <f ca="1">IF(C246=$X$4,"Enter smelter details",IF(ISERROR($V246),"",OFFSET('Smelter Look-up'!$F$4,$V246-4,0)))</f>
        <v>RMI</v>
      </c>
      <c r="H246" s="218" t="s">
        <v>16120</v>
      </c>
      <c r="I246" s="219" t="s">
        <v>1832</v>
      </c>
      <c r="J246" s="219" t="s">
        <v>6250</v>
      </c>
      <c r="K246" s="273"/>
      <c r="L246" s="273"/>
      <c r="M246" s="273"/>
      <c r="N246" s="273" t="s">
        <v>16121</v>
      </c>
      <c r="O246" s="273" t="s">
        <v>16122</v>
      </c>
      <c r="P246" s="220"/>
      <c r="Q246" s="274" t="s">
        <v>15513</v>
      </c>
      <c r="R246" s="217" t="str">
        <f ca="1">IF(ISERROR($V246),"",OFFSET('Smelter Look-up'!$C$4,$V246-4,0)&amp;"")</f>
        <v>PT Timah Tbk Kundur</v>
      </c>
      <c r="S246" s="225" t="str">
        <f t="shared" ca="1" si="33"/>
        <v>ID</v>
      </c>
      <c r="T246" s="225" t="str">
        <f ca="1">IF(B246="","",IF(ISERROR(MATCH($J246,SorP!$B$1:$B$6230,0)),"",INDIRECT("'SorP'!$A$"&amp;MATCH($J246,SorP!$B$1:$B$6230,0))))</f>
        <v>ID-RI</v>
      </c>
      <c r="U246" s="241"/>
      <c r="V246" s="275">
        <f>IF(C246="",NA(),MATCH($B246&amp;$C246,'Smelter Look-up'!$J:$J,0))</f>
        <v>445</v>
      </c>
      <c r="W246" s="276"/>
      <c r="X246" s="276">
        <f t="shared" si="34"/>
        <v>0</v>
      </c>
      <c r="Y246" s="276"/>
      <c r="Z246" s="276"/>
      <c r="AB246" s="278" t="str">
        <f t="shared" si="35"/>
        <v>TinPT Timah Tbk Kundur</v>
      </c>
    </row>
    <row r="247" spans="1:28" s="277" customFormat="1" ht="289.8">
      <c r="A247" s="216" t="s">
        <v>801</v>
      </c>
      <c r="B247" s="217" t="s">
        <v>1154</v>
      </c>
      <c r="C247" s="221" t="s">
        <v>16123</v>
      </c>
      <c r="D247" s="283" t="s">
        <v>16123</v>
      </c>
      <c r="E247" s="217" t="s">
        <v>1128</v>
      </c>
      <c r="F247" s="217" t="str">
        <f ca="1">IF(ISERROR($V247),"",OFFSET('Smelter Look-up'!$E$4,$V247-4,0))</f>
        <v>CID001460</v>
      </c>
      <c r="G247" s="217" t="str">
        <f ca="1">IF(C247=$X$4,"Enter smelter details",IF(ISERROR($V247),"",OFFSET('Smelter Look-up'!$F$4,$V247-4,0)))</f>
        <v>RMI</v>
      </c>
      <c r="H247" s="218" t="s">
        <v>16090</v>
      </c>
      <c r="I247" s="219" t="s">
        <v>1805</v>
      </c>
      <c r="J247" s="219" t="s">
        <v>13183</v>
      </c>
      <c r="K247" s="273"/>
      <c r="L247" s="273"/>
      <c r="M247" s="273"/>
      <c r="N247" s="273" t="s">
        <v>16124</v>
      </c>
      <c r="O247" s="273" t="s">
        <v>16125</v>
      </c>
      <c r="P247" s="220"/>
      <c r="Q247" s="274" t="s">
        <v>15513</v>
      </c>
      <c r="R247" s="217" t="str">
        <f ca="1">IF(ISERROR($V247),"",OFFSET('Smelter Look-up'!$C$4,$V247-4,0)&amp;"")</f>
        <v>PT Refined Bangka Tin</v>
      </c>
      <c r="S247" s="225" t="str">
        <f t="shared" ca="1" si="33"/>
        <v>ID</v>
      </c>
      <c r="T247" s="225" t="str">
        <f ca="1">IF(B247="","",IF(ISERROR(MATCH($J247,SorP!$B$1:$B$6230,0)),"",INDIRECT("'SorP'!$A$"&amp;MATCH($J247,SorP!$B$1:$B$6230,0))))</f>
        <v>ID-BB</v>
      </c>
      <c r="U247" s="241"/>
      <c r="V247" s="275">
        <f>IF(C247="",NA(),MATCH($B247&amp;$C247,'Smelter Look-up'!$J:$J,0))</f>
        <v>443</v>
      </c>
      <c r="W247" s="276"/>
      <c r="X247" s="276">
        <f t="shared" si="34"/>
        <v>0</v>
      </c>
      <c r="Y247" s="276"/>
      <c r="Z247" s="276"/>
      <c r="AB247" s="278" t="str">
        <f t="shared" si="35"/>
        <v>TinPT REFINED BANGKA TIN</v>
      </c>
    </row>
    <row r="248" spans="1:28" s="277" customFormat="1" ht="302.39999999999998">
      <c r="A248" s="216" t="s">
        <v>800</v>
      </c>
      <c r="B248" s="217" t="s">
        <v>1154</v>
      </c>
      <c r="C248" s="221" t="s">
        <v>643</v>
      </c>
      <c r="D248" s="283" t="s">
        <v>643</v>
      </c>
      <c r="E248" s="217" t="s">
        <v>1128</v>
      </c>
      <c r="F248" s="217" t="str">
        <f ca="1">IF(ISERROR($V248),"",OFFSET('Smelter Look-up'!$E$4,$V248-4,0))</f>
        <v>CID001453</v>
      </c>
      <c r="G248" s="217" t="str">
        <f ca="1">IF(C248=$X$4,"Enter smelter details",IF(ISERROR($V248),"",OFFSET('Smelter Look-up'!$F$4,$V248-4,0)))</f>
        <v>RMI</v>
      </c>
      <c r="H248" s="218" t="s">
        <v>16090</v>
      </c>
      <c r="I248" s="219" t="s">
        <v>1805</v>
      </c>
      <c r="J248" s="219" t="s">
        <v>13183</v>
      </c>
      <c r="K248" s="273"/>
      <c r="L248" s="273"/>
      <c r="M248" s="273"/>
      <c r="N248" s="273" t="s">
        <v>16126</v>
      </c>
      <c r="O248" s="273" t="s">
        <v>16127</v>
      </c>
      <c r="P248" s="220"/>
      <c r="Q248" s="274" t="s">
        <v>15513</v>
      </c>
      <c r="R248" s="217" t="str">
        <f ca="1">IF(ISERROR($V248),"",OFFSET('Smelter Look-up'!$C$4,$V248-4,0)&amp;"")</f>
        <v>PT Mitra Stania Prima</v>
      </c>
      <c r="S248" s="225" t="str">
        <f t="shared" ca="1" si="33"/>
        <v>ID</v>
      </c>
      <c r="T248" s="225" t="str">
        <f ca="1">IF(B248="","",IF(ISERROR(MATCH($J248,SorP!$B$1:$B$6230,0)),"",INDIRECT("'SorP'!$A$"&amp;MATCH($J248,SorP!$B$1:$B$6230,0))))</f>
        <v>ID-BB</v>
      </c>
      <c r="U248" s="241"/>
      <c r="V248" s="275">
        <f>IF(C248="",NA(),MATCH($B248&amp;$C248,'Smelter Look-up'!$J:$J,0))</f>
        <v>441</v>
      </c>
      <c r="W248" s="276"/>
      <c r="X248" s="276">
        <f t="shared" si="34"/>
        <v>0</v>
      </c>
      <c r="Y248" s="276"/>
      <c r="Z248" s="276"/>
      <c r="AB248" s="278" t="str">
        <f t="shared" si="35"/>
        <v>TinPT Mitra Stania Prima</v>
      </c>
    </row>
    <row r="249" spans="1:28" s="277" customFormat="1" ht="264.60000000000002">
      <c r="A249" s="216" t="s">
        <v>799</v>
      </c>
      <c r="B249" s="217" t="s">
        <v>1154</v>
      </c>
      <c r="C249" s="221" t="s">
        <v>867</v>
      </c>
      <c r="D249" s="283" t="s">
        <v>867</v>
      </c>
      <c r="E249" s="217" t="s">
        <v>1128</v>
      </c>
      <c r="F249" s="217" t="str">
        <f ca="1">IF(ISERROR($V249),"",OFFSET('Smelter Look-up'!$E$4,$V249-4,0))</f>
        <v>CID001399</v>
      </c>
      <c r="G249" s="217" t="str">
        <f ca="1">IF(C249=$X$4,"Enter smelter details",IF(ISERROR($V249),"",OFFSET('Smelter Look-up'!$F$4,$V249-4,0)))</f>
        <v>RMI</v>
      </c>
      <c r="H249" s="218" t="s">
        <v>16090</v>
      </c>
      <c r="I249" s="219" t="s">
        <v>1805</v>
      </c>
      <c r="J249" s="219" t="s">
        <v>13183</v>
      </c>
      <c r="K249" s="273"/>
      <c r="L249" s="273"/>
      <c r="M249" s="273"/>
      <c r="N249" s="273" t="s">
        <v>16128</v>
      </c>
      <c r="O249" s="273" t="s">
        <v>16129</v>
      </c>
      <c r="P249" s="220"/>
      <c r="Q249" s="274" t="s">
        <v>15513</v>
      </c>
      <c r="R249" s="217" t="str">
        <f ca="1">IF(ISERROR($V249),"",OFFSET('Smelter Look-up'!$C$4,$V249-4,0)&amp;"")</f>
        <v>PT Artha Cipta Langgeng</v>
      </c>
      <c r="S249" s="225" t="str">
        <f t="shared" ca="1" si="33"/>
        <v>ID</v>
      </c>
      <c r="T249" s="225" t="str">
        <f ca="1">IF(B249="","",IF(ISERROR(MATCH($J249,SorP!$B$1:$B$6230,0)),"",INDIRECT("'SorP'!$A$"&amp;MATCH($J249,SorP!$B$1:$B$6230,0))))</f>
        <v>ID-BB</v>
      </c>
      <c r="U249" s="241"/>
      <c r="V249" s="275">
        <f>IF(C249="",NA(),MATCH($B249&amp;$C249,'Smelter Look-up'!$J:$J,0))</f>
        <v>438</v>
      </c>
      <c r="W249" s="276"/>
      <c r="X249" s="276">
        <f t="shared" si="34"/>
        <v>0</v>
      </c>
      <c r="Y249" s="276"/>
      <c r="Z249" s="276"/>
      <c r="AB249" s="278" t="str">
        <f t="shared" si="35"/>
        <v>TinPT Artha Cipta Langgeng</v>
      </c>
    </row>
    <row r="250" spans="1:28" s="277" customFormat="1" ht="264.60000000000002">
      <c r="A250" s="216" t="s">
        <v>798</v>
      </c>
      <c r="B250" s="217" t="s">
        <v>1154</v>
      </c>
      <c r="C250" s="221" t="s">
        <v>14155</v>
      </c>
      <c r="D250" s="283" t="s">
        <v>14155</v>
      </c>
      <c r="E250" s="217" t="s">
        <v>2574</v>
      </c>
      <c r="F250" s="217" t="str">
        <f ca="1">IF(ISERROR($V250),"",OFFSET('Smelter Look-up'!$E$4,$V250-4,0))</f>
        <v>CID001337</v>
      </c>
      <c r="G250" s="217" t="str">
        <f ca="1">IF(C250=$X$4,"Enter smelter details",IF(ISERROR($V250),"",OFFSET('Smelter Look-up'!$F$4,$V250-4,0)))</f>
        <v>RMI</v>
      </c>
      <c r="H250" s="218" t="s">
        <v>16130</v>
      </c>
      <c r="I250" s="219" t="s">
        <v>1807</v>
      </c>
      <c r="J250" s="219" t="s">
        <v>1807</v>
      </c>
      <c r="K250" s="273"/>
      <c r="L250" s="273"/>
      <c r="M250" s="273"/>
      <c r="N250" s="273" t="s">
        <v>16131</v>
      </c>
      <c r="O250" s="273" t="s">
        <v>16132</v>
      </c>
      <c r="P250" s="220"/>
      <c r="Q250" s="274" t="s">
        <v>15513</v>
      </c>
      <c r="R250" s="217" t="str">
        <f ca="1">IF(ISERROR($V250),"",OFFSET('Smelter Look-up'!$C$4,$V250-4,0)&amp;"")</f>
        <v>Operaciones Metalurgicas S.A.</v>
      </c>
      <c r="S250" s="225" t="str">
        <f t="shared" ca="1" si="33"/>
        <v>BO</v>
      </c>
      <c r="T250" s="225" t="str">
        <f ca="1">IF(B250="","",IF(ISERROR(MATCH($J250,SorP!$B$1:$B$6230,0)),"",INDIRECT("'SorP'!$A$"&amp;MATCH($J250,SorP!$B$1:$B$6230,0))))</f>
        <v>BO-O</v>
      </c>
      <c r="U250" s="241"/>
      <c r="V250" s="275">
        <f>IF(C250="",NA(),MATCH($B250&amp;$C250,'Smelter Look-up'!$J:$J,0))</f>
        <v>434</v>
      </c>
      <c r="W250" s="276"/>
      <c r="X250" s="276">
        <f t="shared" si="34"/>
        <v>0</v>
      </c>
      <c r="Y250" s="276"/>
      <c r="Z250" s="276"/>
      <c r="AB250" s="278" t="str">
        <f t="shared" si="35"/>
        <v>TinOperaciones Metalurgicas S.A.</v>
      </c>
    </row>
    <row r="251" spans="1:28" s="277" customFormat="1" ht="189">
      <c r="A251" s="216" t="s">
        <v>797</v>
      </c>
      <c r="B251" s="217" t="s">
        <v>1154</v>
      </c>
      <c r="C251" s="221" t="s">
        <v>796</v>
      </c>
      <c r="D251" s="283" t="s">
        <v>796</v>
      </c>
      <c r="E251" s="217" t="s">
        <v>911</v>
      </c>
      <c r="F251" s="217" t="str">
        <f ca="1">IF(ISERROR($V251),"",OFFSET('Smelter Look-up'!$E$4,$V251-4,0))</f>
        <v>CID001314</v>
      </c>
      <c r="G251" s="217" t="str">
        <f ca="1">IF(C251=$X$4,"Enter smelter details",IF(ISERROR($V251),"",OFFSET('Smelter Look-up'!$F$4,$V251-4,0)))</f>
        <v>RMI</v>
      </c>
      <c r="H251" s="218" t="s">
        <v>16133</v>
      </c>
      <c r="I251" s="219" t="s">
        <v>16134</v>
      </c>
      <c r="J251" s="219" t="s">
        <v>11350</v>
      </c>
      <c r="K251" s="273"/>
      <c r="L251" s="273"/>
      <c r="M251" s="273"/>
      <c r="N251" s="273" t="s">
        <v>16135</v>
      </c>
      <c r="O251" s="273" t="s">
        <v>16136</v>
      </c>
      <c r="P251" s="220"/>
      <c r="Q251" s="274" t="s">
        <v>15513</v>
      </c>
      <c r="R251" s="217" t="str">
        <f ca="1">IF(ISERROR($V251),"",OFFSET('Smelter Look-up'!$C$4,$V251-4,0)&amp;"")</f>
        <v>O.M. Manufacturing (Thailand) Co., Ltd.</v>
      </c>
      <c r="S251" s="225" t="str">
        <f t="shared" ca="1" si="33"/>
        <v>TH</v>
      </c>
      <c r="T251" s="225" t="str">
        <f ca="1">IF(B251="","",IF(ISERROR(MATCH($J251,SorP!$B$1:$B$6230,0)),"",INDIRECT("'SorP'!$A$"&amp;MATCH($J251,SorP!$B$1:$B$6230,0))))</f>
        <v>TH-20</v>
      </c>
      <c r="U251" s="241"/>
      <c r="V251" s="275">
        <f>IF(C251="",NA(),MATCH($B251&amp;$C251,'Smelter Look-up'!$J:$J,0))</f>
        <v>431</v>
      </c>
      <c r="W251" s="276"/>
      <c r="X251" s="276">
        <f t="shared" si="34"/>
        <v>0</v>
      </c>
      <c r="Y251" s="276"/>
      <c r="Z251" s="276"/>
      <c r="AB251" s="278" t="str">
        <f t="shared" si="35"/>
        <v>TinO.M. Manufacturing (Thailand) Co., Ltd.</v>
      </c>
    </row>
    <row r="252" spans="1:28" s="277" customFormat="1" ht="239.4">
      <c r="A252" s="216" t="s">
        <v>1828</v>
      </c>
      <c r="B252" s="217" t="s">
        <v>1154</v>
      </c>
      <c r="C252" s="221" t="s">
        <v>13518</v>
      </c>
      <c r="D252" s="283" t="s">
        <v>13518</v>
      </c>
      <c r="E252" s="217" t="s">
        <v>1123</v>
      </c>
      <c r="F252" s="217" t="str">
        <f ca="1">IF(ISERROR($V252),"",OFFSET('Smelter Look-up'!$E$4,$V252-4,0))</f>
        <v>CID001231</v>
      </c>
      <c r="G252" s="217" t="str">
        <f ca="1">IF(C252=$X$4,"Enter smelter details",IF(ISERROR($V252),"",OFFSET('Smelter Look-up'!$F$4,$V252-4,0)))</f>
        <v>RMI</v>
      </c>
      <c r="H252" s="218" t="s">
        <v>16065</v>
      </c>
      <c r="I252" s="219" t="s">
        <v>1812</v>
      </c>
      <c r="J252" s="219" t="s">
        <v>13966</v>
      </c>
      <c r="K252" s="273"/>
      <c r="L252" s="273"/>
      <c r="M252" s="273"/>
      <c r="N252" s="273" t="s">
        <v>15573</v>
      </c>
      <c r="O252" s="273" t="s">
        <v>16137</v>
      </c>
      <c r="P252" s="220"/>
      <c r="Q252" s="274" t="s">
        <v>15513</v>
      </c>
      <c r="R252" s="217" t="str">
        <f ca="1">IF(ISERROR($V252),"",OFFSET('Smelter Look-up'!$C$4,$V252-4,0)&amp;"")</f>
        <v>Jiangxi New Nanshan Technology Ltd.</v>
      </c>
      <c r="S252" s="225" t="str">
        <f t="shared" ca="1" si="33"/>
        <v>CN</v>
      </c>
      <c r="T252" s="225" t="str">
        <f ca="1">IF(B252="","",IF(ISERROR(MATCH($J252,SorP!$B$1:$B$6230,0)),"",INDIRECT("'SorP'!$A$"&amp;MATCH($J252,SorP!$B$1:$B$6230,0))))</f>
        <v>CN-JX</v>
      </c>
      <c r="U252" s="241"/>
      <c r="V252" s="275">
        <f>IF(C252="",NA(),MATCH($B252&amp;$C252,'Smelter Look-up'!$J:$J,0))</f>
        <v>404</v>
      </c>
      <c r="W252" s="276"/>
      <c r="X252" s="276">
        <f t="shared" si="34"/>
        <v>0</v>
      </c>
      <c r="Y252" s="276"/>
      <c r="Z252" s="276"/>
      <c r="AB252" s="278" t="str">
        <f t="shared" si="35"/>
        <v>TinJiangxi New Nanshan Technology Ltd.</v>
      </c>
    </row>
    <row r="253" spans="1:28" s="277" customFormat="1" ht="201.6">
      <c r="A253" s="216" t="s">
        <v>795</v>
      </c>
      <c r="B253" s="217" t="s">
        <v>1154</v>
      </c>
      <c r="C253" s="221" t="s">
        <v>1187</v>
      </c>
      <c r="D253" s="283" t="s">
        <v>1187</v>
      </c>
      <c r="E253" s="217" t="s">
        <v>1131</v>
      </c>
      <c r="F253" s="217" t="str">
        <f ca="1">IF(ISERROR($V253),"",OFFSET('Smelter Look-up'!$E$4,$V253-4,0))</f>
        <v>CID001191</v>
      </c>
      <c r="G253" s="217" t="str">
        <f ca="1">IF(C253=$X$4,"Enter smelter details",IF(ISERROR($V253),"",OFFSET('Smelter Look-up'!$F$4,$V253-4,0)))</f>
        <v>RMI</v>
      </c>
      <c r="H253" s="218" t="s">
        <v>15745</v>
      </c>
      <c r="I253" s="219" t="s">
        <v>1571</v>
      </c>
      <c r="J253" s="219" t="s">
        <v>1571</v>
      </c>
      <c r="K253" s="273"/>
      <c r="L253" s="273"/>
      <c r="M253" s="273"/>
      <c r="N253" s="273" t="s">
        <v>16138</v>
      </c>
      <c r="O253" s="273" t="s">
        <v>16139</v>
      </c>
      <c r="P253" s="220"/>
      <c r="Q253" s="274" t="s">
        <v>15513</v>
      </c>
      <c r="R253" s="217" t="str">
        <f ca="1">IF(ISERROR($V253),"",OFFSET('Smelter Look-up'!$C$4,$V253-4,0)&amp;"")</f>
        <v>Mitsubishi Materials Corporation</v>
      </c>
      <c r="S253" s="225" t="str">
        <f t="shared" ca="1" si="33"/>
        <v>JP</v>
      </c>
      <c r="T253" s="225" t="str">
        <f ca="1">IF(B253="","",IF(ISERROR(MATCH($J253,SorP!$B$1:$B$6230,0)),"",INDIRECT("'SorP'!$A$"&amp;MATCH($J253,SorP!$B$1:$B$6230,0))))</f>
        <v>JP-13</v>
      </c>
      <c r="U253" s="241"/>
      <c r="V253" s="275">
        <f>IF(C253="",NA(),MATCH($B253&amp;$C253,'Smelter Look-up'!$J:$J,0))</f>
        <v>425</v>
      </c>
      <c r="W253" s="276"/>
      <c r="X253" s="276">
        <f t="shared" si="34"/>
        <v>0</v>
      </c>
      <c r="Y253" s="276"/>
      <c r="Z253" s="276"/>
      <c r="AB253" s="278" t="str">
        <f t="shared" si="35"/>
        <v>TinMitsubishi Materials Corporation</v>
      </c>
    </row>
    <row r="254" spans="1:28" s="277" customFormat="1" ht="277.2">
      <c r="A254" s="216" t="s">
        <v>794</v>
      </c>
      <c r="B254" s="217" t="s">
        <v>1154</v>
      </c>
      <c r="C254" s="221" t="s">
        <v>1057</v>
      </c>
      <c r="D254" s="283" t="s">
        <v>1057</v>
      </c>
      <c r="E254" s="217" t="s">
        <v>903</v>
      </c>
      <c r="F254" s="217" t="str">
        <f ca="1">IF(ISERROR($V254),"",OFFSET('Smelter Look-up'!$E$4,$V254-4,0))</f>
        <v>CID001182</v>
      </c>
      <c r="G254" s="217" t="str">
        <f ca="1">IF(C254=$X$4,"Enter smelter details",IF(ISERROR($V254),"",OFFSET('Smelter Look-up'!$F$4,$V254-4,0)))</f>
        <v>RMI</v>
      </c>
      <c r="H254" s="218" t="s">
        <v>16140</v>
      </c>
      <c r="I254" s="219" t="s">
        <v>1824</v>
      </c>
      <c r="J254" s="219" t="s">
        <v>9438</v>
      </c>
      <c r="K254" s="273"/>
      <c r="L254" s="273"/>
      <c r="M254" s="273"/>
      <c r="N254" s="273" t="s">
        <v>16141</v>
      </c>
      <c r="O254" s="273" t="s">
        <v>16142</v>
      </c>
      <c r="P254" s="220"/>
      <c r="Q254" s="274" t="s">
        <v>15513</v>
      </c>
      <c r="R254" s="217" t="str">
        <f ca="1">IF(ISERROR($V254),"",OFFSET('Smelter Look-up'!$C$4,$V254-4,0)&amp;"")</f>
        <v>Minsur</v>
      </c>
      <c r="S254" s="225" t="str">
        <f t="shared" ca="1" si="33"/>
        <v>PE</v>
      </c>
      <c r="T254" s="225" t="str">
        <f ca="1">IF(B254="","",IF(ISERROR(MATCH($J254,SorP!$B$1:$B$6230,0)),"",INDIRECT("'SorP'!$A$"&amp;MATCH($J254,SorP!$B$1:$B$6230,0))))</f>
        <v>PE-ICA</v>
      </c>
      <c r="U254" s="241"/>
      <c r="V254" s="275">
        <f>IF(C254="",NA(),MATCH($B254&amp;$C254,'Smelter Look-up'!$J:$J,0))</f>
        <v>424</v>
      </c>
      <c r="W254" s="276"/>
      <c r="X254" s="276">
        <f t="shared" si="34"/>
        <v>0</v>
      </c>
      <c r="Y254" s="276"/>
      <c r="Z254" s="276"/>
      <c r="AB254" s="278" t="str">
        <f t="shared" si="35"/>
        <v>TinMinsur</v>
      </c>
    </row>
    <row r="255" spans="1:28" s="277" customFormat="1" ht="327.60000000000002">
      <c r="A255" s="216" t="s">
        <v>793</v>
      </c>
      <c r="B255" s="217" t="s">
        <v>1154</v>
      </c>
      <c r="C255" s="221" t="s">
        <v>12757</v>
      </c>
      <c r="D255" s="283" t="s">
        <v>12757</v>
      </c>
      <c r="E255" s="217" t="s">
        <v>1119</v>
      </c>
      <c r="F255" s="217" t="str">
        <f ca="1">IF(ISERROR($V255),"",OFFSET('Smelter Look-up'!$E$4,$V255-4,0))</f>
        <v>CID001173</v>
      </c>
      <c r="G255" s="217" t="str">
        <f ca="1">IF(C255=$X$4,"Enter smelter details",IF(ISERROR($V255),"",OFFSET('Smelter Look-up'!$F$4,$V255-4,0)))</f>
        <v>RMI</v>
      </c>
      <c r="H255" s="218" t="s">
        <v>16143</v>
      </c>
      <c r="I255" s="219" t="s">
        <v>16144</v>
      </c>
      <c r="J255" s="219" t="s">
        <v>1708</v>
      </c>
      <c r="K255" s="273"/>
      <c r="L255" s="273"/>
      <c r="M255" s="273"/>
      <c r="N255" s="273" t="s">
        <v>16145</v>
      </c>
      <c r="O255" s="273" t="s">
        <v>16146</v>
      </c>
      <c r="P255" s="220"/>
      <c r="Q255" s="274" t="s">
        <v>15513</v>
      </c>
      <c r="R255" s="217" t="str">
        <f ca="1">IF(ISERROR($V255),"",OFFSET('Smelter Look-up'!$C$4,$V255-4,0)&amp;"")</f>
        <v>Mineracao Taboca S.A.</v>
      </c>
      <c r="S255" s="225" t="str">
        <f t="shared" ca="1" si="33"/>
        <v>BR</v>
      </c>
      <c r="T255" s="225" t="str">
        <f ca="1">IF(B255="","",IF(ISERROR(MATCH($J255,SorP!$B$1:$B$6230,0)),"",INDIRECT("'SorP'!$A$"&amp;MATCH($J255,SorP!$B$1:$B$6230,0))))</f>
        <v>BR-SP</v>
      </c>
      <c r="U255" s="241"/>
      <c r="V255" s="275">
        <f>IF(C255="",NA(),MATCH($B255&amp;$C255,'Smelter Look-up'!$J:$J,0))</f>
        <v>421</v>
      </c>
      <c r="W255" s="276"/>
      <c r="X255" s="276">
        <f t="shared" si="34"/>
        <v>0</v>
      </c>
      <c r="Y255" s="276"/>
      <c r="Z255" s="276"/>
      <c r="AB255" s="278" t="str">
        <f t="shared" si="35"/>
        <v>TinMineracao Taboca S.A.</v>
      </c>
    </row>
    <row r="256" spans="1:28" s="277" customFormat="1" ht="176.4">
      <c r="A256" s="216" t="s">
        <v>1820</v>
      </c>
      <c r="B256" s="217" t="s">
        <v>1154</v>
      </c>
      <c r="C256" s="221" t="s">
        <v>2254</v>
      </c>
      <c r="D256" s="283" t="s">
        <v>2254</v>
      </c>
      <c r="E256" s="217" t="s">
        <v>2576</v>
      </c>
      <c r="F256" s="217" t="str">
        <f ca="1">IF(ISERROR($V256),"",OFFSET('Smelter Look-up'!$E$4,$V256-4,0))</f>
        <v>CID001142</v>
      </c>
      <c r="G256" s="217" t="str">
        <f ca="1">IF(C256=$X$4,"Enter smelter details",IF(ISERROR($V256),"",OFFSET('Smelter Look-up'!$F$4,$V256-4,0)))</f>
        <v>RMI</v>
      </c>
      <c r="H256" s="218" t="s">
        <v>16147</v>
      </c>
      <c r="I256" s="219" t="s">
        <v>1821</v>
      </c>
      <c r="J256" s="219" t="s">
        <v>1666</v>
      </c>
      <c r="K256" s="273"/>
      <c r="L256" s="273"/>
      <c r="M256" s="273"/>
      <c r="N256" s="273" t="s">
        <v>16148</v>
      </c>
      <c r="O256" s="273" t="s">
        <v>16149</v>
      </c>
      <c r="P256" s="220"/>
      <c r="Q256" s="274" t="s">
        <v>15513</v>
      </c>
      <c r="R256" s="217" t="str">
        <f ca="1">IF(ISERROR($V256),"",OFFSET('Smelter Look-up'!$C$4,$V256-4,0)&amp;"")</f>
        <v>Metallic Resources, Inc.</v>
      </c>
      <c r="S256" s="225" t="str">
        <f t="shared" ca="1" si="33"/>
        <v>US</v>
      </c>
      <c r="T256" s="225" t="str">
        <f ca="1">IF(B256="","",IF(ISERROR(MATCH($J256,SorP!$B$1:$B$6230,0)),"",INDIRECT("'SorP'!$A$"&amp;MATCH($J256,SorP!$B$1:$B$6230,0))))</f>
        <v>US-OH</v>
      </c>
      <c r="U256" s="241"/>
      <c r="V256" s="275">
        <f>IF(C256="",NA(),MATCH($B256&amp;$C256,'Smelter Look-up'!$J:$J,0))</f>
        <v>418</v>
      </c>
      <c r="W256" s="276"/>
      <c r="X256" s="276">
        <f t="shared" si="34"/>
        <v>0</v>
      </c>
      <c r="Y256" s="276"/>
      <c r="Z256" s="276"/>
      <c r="AB256" s="278" t="str">
        <f t="shared" si="35"/>
        <v>TinMetallic Resources, Inc.</v>
      </c>
    </row>
    <row r="257" spans="1:28" s="277" customFormat="1" ht="409.6">
      <c r="A257" s="216" t="s">
        <v>792</v>
      </c>
      <c r="B257" s="217" t="s">
        <v>1154</v>
      </c>
      <c r="C257" s="221" t="s">
        <v>844</v>
      </c>
      <c r="D257" s="283" t="s">
        <v>844</v>
      </c>
      <c r="E257" s="217" t="s">
        <v>1138</v>
      </c>
      <c r="F257" s="217" t="str">
        <f ca="1">IF(ISERROR($V257),"",OFFSET('Smelter Look-up'!$E$4,$V257-4,0))</f>
        <v>CID001105</v>
      </c>
      <c r="G257" s="217" t="str">
        <f ca="1">IF(C257=$X$4,"Enter smelter details",IF(ISERROR($V257),"",OFFSET('Smelter Look-up'!$F$4,$V257-4,0)))</f>
        <v>RMI</v>
      </c>
      <c r="H257" s="218" t="s">
        <v>16150</v>
      </c>
      <c r="I257" s="219" t="s">
        <v>1819</v>
      </c>
      <c r="J257" s="219" t="s">
        <v>8983</v>
      </c>
      <c r="K257" s="273"/>
      <c r="L257" s="273"/>
      <c r="M257" s="273"/>
      <c r="N257" s="273" t="s">
        <v>16151</v>
      </c>
      <c r="O257" s="273" t="s">
        <v>16152</v>
      </c>
      <c r="P257" s="220"/>
      <c r="Q257" s="274" t="s">
        <v>15513</v>
      </c>
      <c r="R257" s="217" t="str">
        <f ca="1">IF(ISERROR($V257),"",OFFSET('Smelter Look-up'!$C$4,$V257-4,0)&amp;"")</f>
        <v>Malaysia Smelting Corporation (MSC)</v>
      </c>
      <c r="S257" s="225" t="str">
        <f t="shared" ca="1" si="33"/>
        <v>MY</v>
      </c>
      <c r="T257" s="225" t="str">
        <f ca="1">IF(B257="","",IF(ISERROR(MATCH($J257,SorP!$B$1:$B$6230,0)),"",INDIRECT("'SorP'!$A$"&amp;MATCH($J257,SorP!$B$1:$B$6230,0))))</f>
        <v>MY-07</v>
      </c>
      <c r="U257" s="241"/>
      <c r="V257" s="275">
        <f>IF(C257="",NA(),MATCH($B257&amp;$C257,'Smelter Look-up'!$J:$J,0))</f>
        <v>414</v>
      </c>
      <c r="W257" s="276"/>
      <c r="X257" s="276">
        <f t="shared" si="34"/>
        <v>0</v>
      </c>
      <c r="Y257" s="276"/>
      <c r="Z257" s="276"/>
      <c r="AB257" s="278" t="str">
        <f t="shared" si="35"/>
        <v>TinMalaysia Smelting Corporation (MSC)</v>
      </c>
    </row>
    <row r="258" spans="1:28" s="277" customFormat="1" ht="201.6">
      <c r="A258" s="216" t="s">
        <v>791</v>
      </c>
      <c r="B258" s="217" t="s">
        <v>1154</v>
      </c>
      <c r="C258" s="221" t="s">
        <v>1350</v>
      </c>
      <c r="D258" s="283" t="s">
        <v>1350</v>
      </c>
      <c r="E258" s="217" t="s">
        <v>1123</v>
      </c>
      <c r="F258" s="217" t="str">
        <f ca="1">IF(ISERROR($V258),"",OFFSET('Smelter Look-up'!$E$4,$V258-4,0))</f>
        <v>CID001070</v>
      </c>
      <c r="G258" s="217" t="str">
        <f ca="1">IF(C258=$X$4,"Enter smelter details",IF(ISERROR($V258),"",OFFSET('Smelter Look-up'!$F$4,$V258-4,0)))</f>
        <v>RMI</v>
      </c>
      <c r="H258" s="218" t="s">
        <v>16153</v>
      </c>
      <c r="I258" s="219" t="s">
        <v>1814</v>
      </c>
      <c r="J258" s="219" t="s">
        <v>13950</v>
      </c>
      <c r="K258" s="273"/>
      <c r="L258" s="273"/>
      <c r="M258" s="273"/>
      <c r="N258" s="273" t="s">
        <v>16154</v>
      </c>
      <c r="O258" s="273" t="s">
        <v>16155</v>
      </c>
      <c r="P258" s="220"/>
      <c r="Q258" s="274" t="s">
        <v>15513</v>
      </c>
      <c r="R258" s="217" t="str">
        <f ca="1">IF(ISERROR($V258),"",OFFSET('Smelter Look-up'!$C$4,$V258-4,0)&amp;"")</f>
        <v>China Tin Group Co., Ltd.</v>
      </c>
      <c r="S258" s="225" t="str">
        <f t="shared" ca="1" si="33"/>
        <v>CN</v>
      </c>
      <c r="T258" s="225" t="str">
        <f ca="1">IF(B258="","",IF(ISERROR(MATCH($J258,SorP!$B$1:$B$6230,0)),"",INDIRECT("'SorP'!$A$"&amp;MATCH($J258,SorP!$B$1:$B$6230,0))))</f>
        <v>CN-GX</v>
      </c>
      <c r="U258" s="241"/>
      <c r="V258" s="275">
        <f>IF(C258="",NA(),MATCH($B258&amp;$C258,'Smelter Look-up'!$J:$J,0))</f>
        <v>367</v>
      </c>
      <c r="W258" s="276"/>
      <c r="X258" s="276">
        <f t="shared" si="34"/>
        <v>0</v>
      </c>
      <c r="Y258" s="276"/>
      <c r="Z258" s="276"/>
      <c r="AB258" s="278" t="str">
        <f t="shared" si="35"/>
        <v>TinChina Tin Group Co., Ltd.</v>
      </c>
    </row>
    <row r="259" spans="1:28" s="277" customFormat="1" ht="113.4">
      <c r="A259" s="216" t="s">
        <v>790</v>
      </c>
      <c r="B259" s="217" t="s">
        <v>1154</v>
      </c>
      <c r="C259" s="221" t="s">
        <v>1450</v>
      </c>
      <c r="D259" s="283" t="s">
        <v>1450</v>
      </c>
      <c r="E259" s="217" t="s">
        <v>1123</v>
      </c>
      <c r="F259" s="217" t="str">
        <f ca="1">IF(ISERROR($V259),"",OFFSET('Smelter Look-up'!$E$4,$V259-4,0))</f>
        <v>CID000942</v>
      </c>
      <c r="G259" s="217" t="str">
        <f ca="1">IF(C259=$X$4,"Enter smelter details",IF(ISERROR($V259),"",OFFSET('Smelter Look-up'!$F$4,$V259-4,0)))</f>
        <v>RMI</v>
      </c>
      <c r="H259" s="218" t="s">
        <v>16041</v>
      </c>
      <c r="I259" s="219" t="s">
        <v>2590</v>
      </c>
      <c r="J259" s="219" t="s">
        <v>13975</v>
      </c>
      <c r="K259" s="273"/>
      <c r="L259" s="273"/>
      <c r="M259" s="273"/>
      <c r="N259" s="273" t="s">
        <v>15538</v>
      </c>
      <c r="O259" s="273" t="s">
        <v>16156</v>
      </c>
      <c r="P259" s="220"/>
      <c r="Q259" s="274" t="s">
        <v>15513</v>
      </c>
      <c r="R259" s="217" t="str">
        <f ca="1">IF(ISERROR($V259),"",OFFSET('Smelter Look-up'!$C$4,$V259-4,0)&amp;"")</f>
        <v>Gejiu Kai Meng Industry and Trade LLC</v>
      </c>
      <c r="S259" s="225" t="str">
        <f t="shared" ca="1" si="33"/>
        <v>CN</v>
      </c>
      <c r="T259" s="225" t="str">
        <f ca="1">IF(B259="","",IF(ISERROR(MATCH($J259,SorP!$B$1:$B$6230,0)),"",INDIRECT("'SorP'!$A$"&amp;MATCH($J259,SorP!$B$1:$B$6230,0))))</f>
        <v>CN-YN</v>
      </c>
      <c r="U259" s="241"/>
      <c r="V259" s="275">
        <f>IF(C259="",NA(),MATCH($B259&amp;$C259,'Smelter Look-up'!$J:$J,0))</f>
        <v>388</v>
      </c>
      <c r="W259" s="276"/>
      <c r="X259" s="276">
        <f t="shared" si="34"/>
        <v>0</v>
      </c>
      <c r="Y259" s="276"/>
      <c r="Z259" s="276"/>
      <c r="AB259" s="278" t="str">
        <f t="shared" si="35"/>
        <v>TinGejiu Kai Meng Industry and Trade LLC</v>
      </c>
    </row>
    <row r="260" spans="1:28" s="277" customFormat="1" ht="138.6">
      <c r="A260" s="216" t="s">
        <v>788</v>
      </c>
      <c r="B260" s="217" t="s">
        <v>1154</v>
      </c>
      <c r="C260" s="221" t="s">
        <v>1811</v>
      </c>
      <c r="D260" s="283" t="s">
        <v>1811</v>
      </c>
      <c r="E260" s="217" t="s">
        <v>1123</v>
      </c>
      <c r="F260" s="217" t="str">
        <f ca="1">IF(ISERROR($V260),"",OFFSET('Smelter Look-up'!$E$4,$V260-4,0))</f>
        <v>CID000555</v>
      </c>
      <c r="G260" s="217" t="str">
        <f ca="1">IF(C260=$X$4,"Enter smelter details",IF(ISERROR($V260),"",OFFSET('Smelter Look-up'!$F$4,$V260-4,0)))</f>
        <v>RMI</v>
      </c>
      <c r="H260" s="218" t="s">
        <v>16041</v>
      </c>
      <c r="I260" s="219" t="s">
        <v>2590</v>
      </c>
      <c r="J260" s="219" t="s">
        <v>13975</v>
      </c>
      <c r="K260" s="273"/>
      <c r="L260" s="273"/>
      <c r="M260" s="273"/>
      <c r="N260" s="273" t="s">
        <v>16157</v>
      </c>
      <c r="O260" s="273" t="s">
        <v>16158</v>
      </c>
      <c r="P260" s="220"/>
      <c r="Q260" s="274" t="s">
        <v>15513</v>
      </c>
      <c r="R260" s="217" t="str">
        <f ca="1">IF(ISERROR($V260),"",OFFSET('Smelter Look-up'!$C$4,$V260-4,0)&amp;"")</f>
        <v>Gejiu Zili Mining And Metallurgy Co., Ltd.</v>
      </c>
      <c r="S260" s="225" t="str">
        <f t="shared" ca="1" si="33"/>
        <v>CN</v>
      </c>
      <c r="T260" s="225" t="str">
        <f ca="1">IF(B260="","",IF(ISERROR(MATCH($J260,SorP!$B$1:$B$6230,0)),"",INDIRECT("'SorP'!$A$"&amp;MATCH($J260,SorP!$B$1:$B$6230,0))))</f>
        <v>CN-YN</v>
      </c>
      <c r="U260" s="241"/>
      <c r="V260" s="275">
        <f>IF(C260="",NA(),MATCH($B260&amp;$C260,'Smelter Look-up'!$J:$J,0))</f>
        <v>392</v>
      </c>
      <c r="W260" s="276"/>
      <c r="X260" s="276">
        <f t="shared" si="34"/>
        <v>0</v>
      </c>
      <c r="Y260" s="276"/>
      <c r="Z260" s="276"/>
      <c r="AB260" s="278" t="str">
        <f t="shared" si="35"/>
        <v>TinGejiu Zili Mining And Metallurgy Co., Ltd.</v>
      </c>
    </row>
    <row r="261" spans="1:28" s="277" customFormat="1" ht="302.39999999999998">
      <c r="A261" s="216" t="s">
        <v>787</v>
      </c>
      <c r="B261" s="217" t="s">
        <v>1154</v>
      </c>
      <c r="C261" s="221" t="s">
        <v>2248</v>
      </c>
      <c r="D261" s="283" t="s">
        <v>2248</v>
      </c>
      <c r="E261" s="217" t="s">
        <v>1123</v>
      </c>
      <c r="F261" s="217" t="str">
        <f ca="1">IF(ISERROR($V261),"",OFFSET('Smelter Look-up'!$E$4,$V261-4,0))</f>
        <v>CID000538</v>
      </c>
      <c r="G261" s="217" t="str">
        <f ca="1">IF(C261=$X$4,"Enter smelter details",IF(ISERROR($V261),"",OFFSET('Smelter Look-up'!$F$4,$V261-4,0)))</f>
        <v>RMI</v>
      </c>
      <c r="H261" s="218" t="s">
        <v>16041</v>
      </c>
      <c r="I261" s="219" t="s">
        <v>2590</v>
      </c>
      <c r="J261" s="219" t="s">
        <v>13975</v>
      </c>
      <c r="K261" s="273"/>
      <c r="L261" s="273"/>
      <c r="M261" s="273"/>
      <c r="N261" s="273" t="s">
        <v>16159</v>
      </c>
      <c r="O261" s="273" t="s">
        <v>16160</v>
      </c>
      <c r="P261" s="220"/>
      <c r="Q261" s="274" t="s">
        <v>15513</v>
      </c>
      <c r="R261" s="217" t="str">
        <f ca="1">IF(ISERROR($V261),"",OFFSET('Smelter Look-up'!$C$4,$V261-4,0)&amp;"")</f>
        <v>Gejiu Non-Ferrous Metal Processing Co., Ltd.</v>
      </c>
      <c r="S261" s="225" t="str">
        <f t="shared" ref="S261" ca="1" si="36">IF(B261="","",IF(ISERROR(MATCH($E261,CL,0)),"Unknown",INDIRECT("'C'!$A$"&amp;MATCH($E261,CL,0)+1)))</f>
        <v>CN</v>
      </c>
      <c r="T261" s="225" t="str">
        <f ca="1">IF(B261="","",IF(ISERROR(MATCH($J261,SorP!$B$1:$B$6230,0)),"",INDIRECT("'SorP'!$A$"&amp;MATCH($J261,SorP!$B$1:$B$6230,0))))</f>
        <v>CN-YN</v>
      </c>
      <c r="U261" s="241"/>
      <c r="V261" s="275">
        <f>IF(C261="",NA(),MATCH($B261&amp;$C261,'Smelter Look-up'!$J:$J,0))</f>
        <v>389</v>
      </c>
      <c r="W261" s="276"/>
      <c r="X261" s="276">
        <f t="shared" ref="X261" si="37">IF(AND(C261="Smelter not listed",OR(LEN(D261)=0,LEN(E261)=0)),1,0)</f>
        <v>0</v>
      </c>
      <c r="Y261" s="276"/>
      <c r="Z261" s="276"/>
      <c r="AB261" s="278" t="str">
        <f t="shared" ref="AB261" si="38">B261&amp;C261</f>
        <v>TinGejiu Non-Ferrous Metal Processing Co., Ltd.</v>
      </c>
    </row>
    <row r="262" spans="1:28" s="277" customFormat="1" ht="151.19999999999999">
      <c r="A262" s="216" t="s">
        <v>786</v>
      </c>
      <c r="B262" s="217" t="s">
        <v>1154</v>
      </c>
      <c r="C262" s="221" t="s">
        <v>836</v>
      </c>
      <c r="D262" s="283" t="s">
        <v>836</v>
      </c>
      <c r="E262" s="217" t="s">
        <v>905</v>
      </c>
      <c r="F262" s="217" t="str">
        <f ca="1">IF(ISERROR($V262),"",OFFSET('Smelter Look-up'!$E$4,$V262-4,0))</f>
        <v>CID000468</v>
      </c>
      <c r="G262" s="217" t="str">
        <f ca="1">IF(C262=$X$4,"Enter smelter details",IF(ISERROR($V262),"",OFFSET('Smelter Look-up'!$F$4,$V262-4,0)))</f>
        <v>RMI</v>
      </c>
      <c r="H262" s="218" t="s">
        <v>16161</v>
      </c>
      <c r="I262" s="219" t="s">
        <v>1810</v>
      </c>
      <c r="J262" s="219" t="s">
        <v>9826</v>
      </c>
      <c r="K262" s="273"/>
      <c r="L262" s="273"/>
      <c r="M262" s="273"/>
      <c r="N262" s="273" t="s">
        <v>16162</v>
      </c>
      <c r="O262" s="273" t="s">
        <v>16163</v>
      </c>
      <c r="P262" s="220"/>
      <c r="Q262" s="274" t="s">
        <v>15513</v>
      </c>
      <c r="R262" s="217" t="str">
        <f ca="1">IF(ISERROR($V262),"",OFFSET('Smelter Look-up'!$C$4,$V262-4,0)&amp;"")</f>
        <v>Fenix Metals</v>
      </c>
      <c r="S262" s="225" t="str">
        <f t="shared" ref="S262:S293" ca="1" si="39">IF(B262="","",IF(ISERROR(MATCH($E262,CL,0)),"Unknown",INDIRECT("'C'!$A$"&amp;MATCH($E262,CL,0)+1)))</f>
        <v>PL</v>
      </c>
      <c r="T262" s="225" t="str">
        <f ca="1">IF(B262="","",IF(ISERROR(MATCH($J262,SorP!$B$1:$B$6230,0)),"",INDIRECT("'SorP'!$A$"&amp;MATCH($J262,SorP!$B$1:$B$6230,0))))</f>
        <v>PL-18</v>
      </c>
      <c r="U262" s="241"/>
      <c r="V262" s="275">
        <f>IF(C262="",NA(),MATCH($B262&amp;$C262,'Smelter Look-up'!$J:$J,0))</f>
        <v>383</v>
      </c>
      <c r="W262" s="276"/>
      <c r="X262" s="276">
        <f t="shared" ref="X262:X293" si="40">IF(AND(C262="Smelter not listed",OR(LEN(D262)=0,LEN(E262)=0)),1,0)</f>
        <v>0</v>
      </c>
      <c r="Y262" s="276"/>
      <c r="Z262" s="276"/>
      <c r="AB262" s="278" t="str">
        <f t="shared" ref="AB262:AB293" si="41">B262&amp;C262</f>
        <v>TinFenix Metals</v>
      </c>
    </row>
    <row r="263" spans="1:28" s="277" customFormat="1" ht="50.4">
      <c r="A263" s="216" t="s">
        <v>785</v>
      </c>
      <c r="B263" s="217" t="s">
        <v>1154</v>
      </c>
      <c r="C263" s="221" t="s">
        <v>12753</v>
      </c>
      <c r="D263" s="283" t="s">
        <v>12753</v>
      </c>
      <c r="E263" s="217" t="s">
        <v>1119</v>
      </c>
      <c r="F263" s="217" t="str">
        <f ca="1">IF(ISERROR($V263),"",OFFSET('Smelter Look-up'!$E$4,$V263-4,0))</f>
        <v>CID000448</v>
      </c>
      <c r="G263" s="217" t="str">
        <f ca="1">IF(C263=$X$4,"Enter smelter details",IF(ISERROR($V263),"",OFFSET('Smelter Look-up'!$F$4,$V263-4,0)))</f>
        <v>RMI</v>
      </c>
      <c r="H263" s="218" t="s">
        <v>16092</v>
      </c>
      <c r="I263" s="219" t="s">
        <v>1804</v>
      </c>
      <c r="J263" s="219" t="s">
        <v>1808</v>
      </c>
      <c r="K263" s="273"/>
      <c r="L263" s="273"/>
      <c r="M263" s="273"/>
      <c r="N263" s="273"/>
      <c r="O263" s="273" t="s">
        <v>16164</v>
      </c>
      <c r="P263" s="220"/>
      <c r="Q263" s="274"/>
      <c r="R263" s="217" t="str">
        <f ca="1">IF(ISERROR($V263),"",OFFSET('Smelter Look-up'!$C$4,$V263-4,0)&amp;"")</f>
        <v>Estanho de Rondonia S.A.</v>
      </c>
      <c r="S263" s="225" t="str">
        <f t="shared" ca="1" si="39"/>
        <v>BR</v>
      </c>
      <c r="T263" s="225" t="str">
        <f ca="1">IF(B263="","",IF(ISERROR(MATCH($J263,SorP!$B$1:$B$6230,0)),"",INDIRECT("'SorP'!$A$"&amp;MATCH($J263,SorP!$B$1:$B$6230,0))))</f>
        <v>BR-RO</v>
      </c>
      <c r="U263" s="241"/>
      <c r="V263" s="275">
        <f>IF(C263="",NA(),MATCH($B263&amp;$C263,'Smelter Look-up'!$J:$J,0))</f>
        <v>381</v>
      </c>
      <c r="W263" s="276"/>
      <c r="X263" s="276">
        <f t="shared" si="40"/>
        <v>0</v>
      </c>
      <c r="Y263" s="276"/>
      <c r="Z263" s="276"/>
      <c r="AB263" s="278" t="str">
        <f t="shared" si="41"/>
        <v>TinEstanho de Rondonia S.A.</v>
      </c>
    </row>
    <row r="264" spans="1:28" s="277" customFormat="1" ht="264.60000000000002">
      <c r="A264" s="216" t="s">
        <v>784</v>
      </c>
      <c r="B264" s="217" t="s">
        <v>1154</v>
      </c>
      <c r="C264" s="221" t="s">
        <v>865</v>
      </c>
      <c r="D264" s="283" t="s">
        <v>865</v>
      </c>
      <c r="E264" s="217" t="s">
        <v>2574</v>
      </c>
      <c r="F264" s="217" t="str">
        <f ca="1">IF(ISERROR($V264),"",OFFSET('Smelter Look-up'!$E$4,$V264-4,0))</f>
        <v>CID000438</v>
      </c>
      <c r="G264" s="217" t="str">
        <f ca="1">IF(C264=$X$4,"Enter smelter details",IF(ISERROR($V264),"",OFFSET('Smelter Look-up'!$F$4,$V264-4,0)))</f>
        <v>RMI</v>
      </c>
      <c r="H264" s="218" t="s">
        <v>16130</v>
      </c>
      <c r="I264" s="219" t="s">
        <v>1807</v>
      </c>
      <c r="J264" s="219" t="s">
        <v>1807</v>
      </c>
      <c r="K264" s="273"/>
      <c r="L264" s="273"/>
      <c r="M264" s="273"/>
      <c r="N264" s="273" t="s">
        <v>16165</v>
      </c>
      <c r="O264" s="273" t="s">
        <v>16166</v>
      </c>
      <c r="P264" s="220"/>
      <c r="Q264" s="274" t="s">
        <v>15513</v>
      </c>
      <c r="R264" s="217" t="str">
        <f ca="1">IF(ISERROR($V264),"",OFFSET('Smelter Look-up'!$C$4,$V264-4,0)&amp;"")</f>
        <v>EM Vinto</v>
      </c>
      <c r="S264" s="225" t="str">
        <f t="shared" ca="1" si="39"/>
        <v>BO</v>
      </c>
      <c r="T264" s="225" t="str">
        <f ca="1">IF(B264="","",IF(ISERROR(MATCH($J264,SorP!$B$1:$B$6230,0)),"",INDIRECT("'SorP'!$A$"&amp;MATCH($J264,SorP!$B$1:$B$6230,0))))</f>
        <v>BO-O</v>
      </c>
      <c r="U264" s="241"/>
      <c r="V264" s="275">
        <f>IF(C264="",NA(),MATCH($B264&amp;$C264,'Smelter Look-up'!$J:$J,0))</f>
        <v>377</v>
      </c>
      <c r="W264" s="276"/>
      <c r="X264" s="276">
        <f t="shared" si="40"/>
        <v>0</v>
      </c>
      <c r="Y264" s="276"/>
      <c r="Z264" s="276"/>
      <c r="AB264" s="278" t="str">
        <f t="shared" si="41"/>
        <v>TinEM Vinto</v>
      </c>
    </row>
    <row r="265" spans="1:28" s="277" customFormat="1" ht="126">
      <c r="A265" s="216" t="s">
        <v>1433</v>
      </c>
      <c r="B265" s="217" t="s">
        <v>1154</v>
      </c>
      <c r="C265" s="221" t="s">
        <v>929</v>
      </c>
      <c r="D265" s="283" t="s">
        <v>929</v>
      </c>
      <c r="E265" s="217" t="s">
        <v>1131</v>
      </c>
      <c r="F265" s="217" t="str">
        <f ca="1">IF(ISERROR($V265),"",OFFSET('Smelter Look-up'!$E$4,$V265-4,0))</f>
        <v>CID000402</v>
      </c>
      <c r="G265" s="217" t="str">
        <f ca="1">IF(C265=$X$4,"Enter smelter details",IF(ISERROR($V265),"",OFFSET('Smelter Look-up'!$F$4,$V265-4,0)))</f>
        <v>RMI</v>
      </c>
      <c r="H265" s="218" t="s">
        <v>15855</v>
      </c>
      <c r="I265" s="219" t="s">
        <v>1604</v>
      </c>
      <c r="J265" s="219" t="s">
        <v>1605</v>
      </c>
      <c r="K265" s="273"/>
      <c r="L265" s="273"/>
      <c r="M265" s="273"/>
      <c r="N265" s="273" t="s">
        <v>16167</v>
      </c>
      <c r="O265" s="273" t="s">
        <v>16168</v>
      </c>
      <c r="P265" s="220"/>
      <c r="Q265" s="274" t="s">
        <v>15513</v>
      </c>
      <c r="R265" s="217" t="str">
        <f ca="1">IF(ISERROR($V265),"",OFFSET('Smelter Look-up'!$C$4,$V265-4,0)&amp;"")</f>
        <v>Dowa</v>
      </c>
      <c r="S265" s="225" t="str">
        <f t="shared" ca="1" si="39"/>
        <v>JP</v>
      </c>
      <c r="T265" s="225" t="str">
        <f ca="1">IF(B265="","",IF(ISERROR(MATCH($J265,SorP!$B$1:$B$6230,0)),"",INDIRECT("'SorP'!$A$"&amp;MATCH($J265,SorP!$B$1:$B$6230,0))))</f>
        <v>JP-05</v>
      </c>
      <c r="U265" s="241"/>
      <c r="V265" s="275">
        <f>IF(C265="",NA(),MATCH($B265&amp;$C265,'Smelter Look-up'!$J:$J,0))</f>
        <v>374</v>
      </c>
      <c r="W265" s="276"/>
      <c r="X265" s="276">
        <f t="shared" si="40"/>
        <v>0</v>
      </c>
      <c r="Y265" s="276"/>
      <c r="Z265" s="276"/>
      <c r="AB265" s="278" t="str">
        <f t="shared" si="41"/>
        <v>TinDowa</v>
      </c>
    </row>
    <row r="266" spans="1:28" s="277" customFormat="1" ht="352.8">
      <c r="A266" s="216" t="s">
        <v>783</v>
      </c>
      <c r="B266" s="217" t="s">
        <v>1154</v>
      </c>
      <c r="C266" s="221" t="s">
        <v>51</v>
      </c>
      <c r="D266" s="283" t="s">
        <v>51</v>
      </c>
      <c r="E266" s="217" t="s">
        <v>2576</v>
      </c>
      <c r="F266" s="217" t="str">
        <f ca="1">IF(ISERROR($V266),"",OFFSET('Smelter Look-up'!$E$4,$V266-4,0))</f>
        <v>CID000292</v>
      </c>
      <c r="G266" s="217" t="str">
        <f ca="1">IF(C266=$X$4,"Enter smelter details",IF(ISERROR($V266),"",OFFSET('Smelter Look-up'!$F$4,$V266-4,0)))</f>
        <v>RMI</v>
      </c>
      <c r="H266" s="218" t="s">
        <v>16169</v>
      </c>
      <c r="I266" s="219" t="s">
        <v>1798</v>
      </c>
      <c r="J266" s="219" t="s">
        <v>1774</v>
      </c>
      <c r="K266" s="273"/>
      <c r="L266" s="273"/>
      <c r="M266" s="273"/>
      <c r="N266" s="273" t="s">
        <v>16170</v>
      </c>
      <c r="O266" s="273" t="s">
        <v>16171</v>
      </c>
      <c r="P266" s="220"/>
      <c r="Q266" s="274" t="s">
        <v>15513</v>
      </c>
      <c r="R266" s="217" t="str">
        <f ca="1">IF(ISERROR($V266),"",OFFSET('Smelter Look-up'!$C$4,$V266-4,0)&amp;"")</f>
        <v>Alpha</v>
      </c>
      <c r="S266" s="225" t="str">
        <f t="shared" ca="1" si="39"/>
        <v>US</v>
      </c>
      <c r="T266" s="225" t="str">
        <f ca="1">IF(B266="","",IF(ISERROR(MATCH($J266,SorP!$B$1:$B$6230,0)),"",INDIRECT("'SorP'!$A$"&amp;MATCH($J266,SorP!$B$1:$B$6230,0))))</f>
        <v>US-PA</v>
      </c>
      <c r="U266" s="241"/>
      <c r="V266" s="275">
        <f>IF(C266="",NA(),MATCH($B266&amp;$C266,'Smelter Look-up'!$J:$J,0))</f>
        <v>356</v>
      </c>
      <c r="W266" s="276"/>
      <c r="X266" s="276">
        <f t="shared" si="40"/>
        <v>0</v>
      </c>
      <c r="Y266" s="276"/>
      <c r="Z266" s="276"/>
      <c r="AB266" s="278" t="str">
        <f t="shared" si="41"/>
        <v>TinAlpha</v>
      </c>
    </row>
    <row r="267" spans="1:28" s="277" customFormat="1" ht="151.19999999999999">
      <c r="A267" s="216" t="s">
        <v>2403</v>
      </c>
      <c r="B267" s="217" t="s">
        <v>1154</v>
      </c>
      <c r="C267" s="221" t="s">
        <v>2463</v>
      </c>
      <c r="D267" s="283" t="s">
        <v>2463</v>
      </c>
      <c r="E267" s="217" t="s">
        <v>1123</v>
      </c>
      <c r="F267" s="217" t="str">
        <f ca="1">IF(ISERROR($V267),"",OFFSET('Smelter Look-up'!$E$4,$V267-4,0))</f>
        <v>CID000228</v>
      </c>
      <c r="G267" s="217" t="str">
        <f ca="1">IF(C267=$X$4,"Enter smelter details",IF(ISERROR($V267),"",OFFSET('Smelter Look-up'!$F$4,$V267-4,0)))</f>
        <v>RMI</v>
      </c>
      <c r="H267" s="218" t="s">
        <v>15828</v>
      </c>
      <c r="I267" s="219" t="s">
        <v>1813</v>
      </c>
      <c r="J267" s="219" t="s">
        <v>13970</v>
      </c>
      <c r="K267" s="273"/>
      <c r="L267" s="273"/>
      <c r="M267" s="273"/>
      <c r="N267" s="273" t="s">
        <v>16172</v>
      </c>
      <c r="O267" s="273" t="s">
        <v>16173</v>
      </c>
      <c r="P267" s="220"/>
      <c r="Q267" s="274" t="s">
        <v>15513</v>
      </c>
      <c r="R267" s="217" t="str">
        <f ca="1">IF(ISERROR($V267),"",OFFSET('Smelter Look-up'!$C$4,$V267-4,0)&amp;"")</f>
        <v>Chenzhou Yunxiang Mining and Metallurgy Co., Ltd.</v>
      </c>
      <c r="S267" s="225" t="str">
        <f t="shared" ca="1" si="39"/>
        <v>CN</v>
      </c>
      <c r="T267" s="225" t="str">
        <f ca="1">IF(B267="","",IF(ISERROR(MATCH($J267,SorP!$B$1:$B$6230,0)),"",INDIRECT("'SorP'!$A$"&amp;MATCH($J267,SorP!$B$1:$B$6230,0))))</f>
        <v>CN-HN</v>
      </c>
      <c r="U267" s="241"/>
      <c r="V267" s="275">
        <f>IF(C267="",NA(),MATCH($B267&amp;$C267,'Smelter Look-up'!$J:$J,0))</f>
        <v>364</v>
      </c>
      <c r="W267" s="276"/>
      <c r="X267" s="276">
        <f t="shared" si="40"/>
        <v>0</v>
      </c>
      <c r="Y267" s="276"/>
      <c r="Z267" s="276"/>
      <c r="AB267" s="278" t="str">
        <f t="shared" si="41"/>
        <v>TinChenzhou Yunxiang Mining and Metallurgy Co., Ltd.</v>
      </c>
    </row>
    <row r="268" spans="1:28" s="277" customFormat="1" ht="37.799999999999997">
      <c r="A268" s="216"/>
      <c r="B268" s="217" t="s">
        <v>1154</v>
      </c>
      <c r="C268" s="221" t="s">
        <v>1898</v>
      </c>
      <c r="D268" s="283" t="s">
        <v>16174</v>
      </c>
      <c r="E268" s="217" t="s">
        <v>1125</v>
      </c>
      <c r="F268" s="217"/>
      <c r="G268" s="217"/>
      <c r="H268" s="218" t="s">
        <v>16175</v>
      </c>
      <c r="I268" s="219" t="s">
        <v>3803</v>
      </c>
      <c r="J268" s="219" t="s">
        <v>3803</v>
      </c>
      <c r="K268" s="273"/>
      <c r="L268" s="273"/>
      <c r="M268" s="273"/>
      <c r="N268" s="273"/>
      <c r="O268" s="273" t="s">
        <v>15509</v>
      </c>
      <c r="P268" s="220"/>
      <c r="Q268" s="274"/>
      <c r="R268" s="217" t="str">
        <f ca="1">IF(ISERROR($V268),"",OFFSET('Smelter Look-up'!$C$4,$V268-4,0)&amp;"")</f>
        <v/>
      </c>
      <c r="S268" s="225" t="str">
        <f t="shared" ca="1" si="39"/>
        <v>ES</v>
      </c>
      <c r="T268" s="225" t="str">
        <f ca="1">IF(B268="","",IF(ISERROR(MATCH($J268,SorP!$B$1:$B$6230,0)),"",INDIRECT("'SorP'!$A$"&amp;MATCH($J268,SorP!$B$1:$B$6230,0))))</f>
        <v>BZ-TOL</v>
      </c>
      <c r="U268" s="241"/>
      <c r="V268" s="275">
        <f>IF(C268="",NA(),MATCH($B268&amp;$C268,'Smelter Look-up'!$J:$J,0))</f>
        <v>484</v>
      </c>
      <c r="W268" s="276"/>
      <c r="X268" s="276">
        <f t="shared" si="40"/>
        <v>0</v>
      </c>
      <c r="Y268" s="276"/>
      <c r="Z268" s="276"/>
      <c r="AB268" s="278" t="str">
        <f t="shared" si="41"/>
        <v>TinSmelter not listed</v>
      </c>
    </row>
    <row r="269" spans="1:28" s="277" customFormat="1" ht="37.799999999999997">
      <c r="A269" s="216"/>
      <c r="B269" s="217" t="s">
        <v>1154</v>
      </c>
      <c r="C269" s="221" t="s">
        <v>1898</v>
      </c>
      <c r="D269" s="283" t="s">
        <v>16176</v>
      </c>
      <c r="E269" s="217" t="s">
        <v>1128</v>
      </c>
      <c r="F269" s="217"/>
      <c r="G269" s="217"/>
      <c r="H269" s="218" t="s">
        <v>16177</v>
      </c>
      <c r="I269" s="219" t="s">
        <v>1805</v>
      </c>
      <c r="J269" s="219" t="s">
        <v>13183</v>
      </c>
      <c r="K269" s="273"/>
      <c r="L269" s="273"/>
      <c r="M269" s="273"/>
      <c r="N269" s="273" t="s">
        <v>15734</v>
      </c>
      <c r="O269" s="273" t="s">
        <v>16178</v>
      </c>
      <c r="P269" s="220"/>
      <c r="Q269" s="274"/>
      <c r="R269" s="217" t="str">
        <f ca="1">IF(ISERROR($V269),"",OFFSET('Smelter Look-up'!$C$4,$V269-4,0)&amp;"")</f>
        <v/>
      </c>
      <c r="S269" s="225" t="str">
        <f t="shared" ca="1" si="39"/>
        <v>ID</v>
      </c>
      <c r="T269" s="225" t="str">
        <f ca="1">IF(B269="","",IF(ISERROR(MATCH($J269,SorP!$B$1:$B$6230,0)),"",INDIRECT("'SorP'!$A$"&amp;MATCH($J269,SorP!$B$1:$B$6230,0))))</f>
        <v>ID-BB</v>
      </c>
      <c r="U269" s="241"/>
      <c r="V269" s="275">
        <f>IF(C269="",NA(),MATCH($B269&amp;$C269,'Smelter Look-up'!$J:$J,0))</f>
        <v>484</v>
      </c>
      <c r="W269" s="276"/>
      <c r="X269" s="276">
        <f t="shared" si="40"/>
        <v>0</v>
      </c>
      <c r="Y269" s="276"/>
      <c r="Z269" s="276"/>
      <c r="AB269" s="278" t="str">
        <f t="shared" si="41"/>
        <v>TinSmelter not listed</v>
      </c>
    </row>
    <row r="270" spans="1:28" s="277" customFormat="1" ht="50.4">
      <c r="A270" s="216"/>
      <c r="B270" s="217" t="s">
        <v>1154</v>
      </c>
      <c r="C270" s="221" t="s">
        <v>1898</v>
      </c>
      <c r="D270" s="283" t="s">
        <v>16179</v>
      </c>
      <c r="E270" s="217" t="s">
        <v>1128</v>
      </c>
      <c r="F270" s="217"/>
      <c r="G270" s="217"/>
      <c r="H270" s="218" t="s">
        <v>16180</v>
      </c>
      <c r="I270" s="219" t="s">
        <v>16181</v>
      </c>
      <c r="J270" s="219" t="s">
        <v>13183</v>
      </c>
      <c r="K270" s="273"/>
      <c r="L270" s="273"/>
      <c r="M270" s="273"/>
      <c r="N270" s="273" t="s">
        <v>16182</v>
      </c>
      <c r="O270" s="273" t="s">
        <v>16183</v>
      </c>
      <c r="P270" s="220"/>
      <c r="Q270" s="274"/>
      <c r="R270" s="217" t="str">
        <f ca="1">IF(ISERROR($V270),"",OFFSET('Smelter Look-up'!$C$4,$V270-4,0)&amp;"")</f>
        <v/>
      </c>
      <c r="S270" s="225" t="str">
        <f t="shared" ca="1" si="39"/>
        <v>ID</v>
      </c>
      <c r="T270" s="225" t="str">
        <f ca="1">IF(B270="","",IF(ISERROR(MATCH($J270,SorP!$B$1:$B$6230,0)),"",INDIRECT("'SorP'!$A$"&amp;MATCH($J270,SorP!$B$1:$B$6230,0))))</f>
        <v>ID-BB</v>
      </c>
      <c r="U270" s="241"/>
      <c r="V270" s="275">
        <f>IF(C270="",NA(),MATCH($B270&amp;$C270,'Smelter Look-up'!$J:$J,0))</f>
        <v>484</v>
      </c>
      <c r="W270" s="276"/>
      <c r="X270" s="276">
        <f t="shared" si="40"/>
        <v>0</v>
      </c>
      <c r="Y270" s="276"/>
      <c r="Z270" s="276"/>
      <c r="AB270" s="278" t="str">
        <f t="shared" si="41"/>
        <v>TinSmelter not listed</v>
      </c>
    </row>
    <row r="271" spans="1:28" s="277" customFormat="1" ht="50.4">
      <c r="A271" s="216"/>
      <c r="B271" s="217" t="s">
        <v>1154</v>
      </c>
      <c r="C271" s="221" t="s">
        <v>1898</v>
      </c>
      <c r="D271" s="283" t="s">
        <v>16184</v>
      </c>
      <c r="E271" s="217" t="s">
        <v>1123</v>
      </c>
      <c r="F271" s="217"/>
      <c r="G271" s="217"/>
      <c r="H271" s="218" t="s">
        <v>16041</v>
      </c>
      <c r="I271" s="219" t="s">
        <v>2590</v>
      </c>
      <c r="J271" s="219" t="s">
        <v>13975</v>
      </c>
      <c r="K271" s="273"/>
      <c r="L271" s="273"/>
      <c r="M271" s="273"/>
      <c r="N271" s="273" t="s">
        <v>16185</v>
      </c>
      <c r="O271" s="273" t="s">
        <v>16186</v>
      </c>
      <c r="P271" s="220"/>
      <c r="Q271" s="274" t="s">
        <v>15513</v>
      </c>
      <c r="R271" s="217" t="str">
        <f ca="1">IF(ISERROR($V271),"",OFFSET('Smelter Look-up'!$C$4,$V271-4,0)&amp;"")</f>
        <v/>
      </c>
      <c r="S271" s="225" t="str">
        <f t="shared" ca="1" si="39"/>
        <v>CN</v>
      </c>
      <c r="T271" s="225" t="str">
        <f ca="1">IF(B271="","",IF(ISERROR(MATCH($J271,SorP!$B$1:$B$6230,0)),"",INDIRECT("'SorP'!$A$"&amp;MATCH($J271,SorP!$B$1:$B$6230,0))))</f>
        <v>CN-YN</v>
      </c>
      <c r="U271" s="241"/>
      <c r="V271" s="275">
        <f>IF(C271="",NA(),MATCH($B271&amp;$C271,'Smelter Look-up'!$J:$J,0))</f>
        <v>484</v>
      </c>
      <c r="W271" s="276"/>
      <c r="X271" s="276">
        <f t="shared" si="40"/>
        <v>0</v>
      </c>
      <c r="Y271" s="276"/>
      <c r="Z271" s="276"/>
      <c r="AB271" s="278" t="str">
        <f t="shared" si="41"/>
        <v>TinSmelter not listed</v>
      </c>
    </row>
    <row r="272" spans="1:28" s="277" customFormat="1" ht="37.799999999999997">
      <c r="A272" s="216"/>
      <c r="B272" s="217" t="s">
        <v>1154</v>
      </c>
      <c r="C272" s="221" t="s">
        <v>1898</v>
      </c>
      <c r="D272" s="283" t="s">
        <v>16187</v>
      </c>
      <c r="E272" s="217" t="s">
        <v>1123</v>
      </c>
      <c r="F272" s="217"/>
      <c r="G272" s="217"/>
      <c r="H272" s="218"/>
      <c r="I272" s="219"/>
      <c r="J272" s="219"/>
      <c r="K272" s="273"/>
      <c r="L272" s="273"/>
      <c r="M272" s="273"/>
      <c r="N272" s="273"/>
      <c r="O272" s="273"/>
      <c r="P272" s="220"/>
      <c r="Q272" s="274"/>
      <c r="R272" s="217" t="str">
        <f ca="1">IF(ISERROR($V272),"",OFFSET('Smelter Look-up'!$C$4,$V272-4,0)&amp;"")</f>
        <v/>
      </c>
      <c r="S272" s="225" t="str">
        <f t="shared" ca="1" si="39"/>
        <v>CN</v>
      </c>
      <c r="T272" s="225" t="str">
        <f ca="1">IF(B272="","",IF(ISERROR(MATCH($J272,SorP!$B$1:$B$6230,0)),"",INDIRECT("'SorP'!$A$"&amp;MATCH($J272,SorP!$B$1:$B$6230,0))))</f>
        <v/>
      </c>
      <c r="U272" s="241"/>
      <c r="V272" s="275">
        <f>IF(C272="",NA(),MATCH($B272&amp;$C272,'Smelter Look-up'!$J:$J,0))</f>
        <v>484</v>
      </c>
      <c r="W272" s="276"/>
      <c r="X272" s="276">
        <f t="shared" si="40"/>
        <v>0</v>
      </c>
      <c r="Y272" s="276"/>
      <c r="Z272" s="276"/>
      <c r="AB272" s="278" t="str">
        <f t="shared" si="41"/>
        <v>TinSmelter not listed</v>
      </c>
    </row>
    <row r="273" spans="1:28" s="277" customFormat="1" ht="37.799999999999997">
      <c r="A273" s="216"/>
      <c r="B273" s="217" t="s">
        <v>1154</v>
      </c>
      <c r="C273" s="221" t="s">
        <v>1898</v>
      </c>
      <c r="D273" s="283" t="s">
        <v>16188</v>
      </c>
      <c r="E273" s="217" t="s">
        <v>1123</v>
      </c>
      <c r="F273" s="217"/>
      <c r="G273" s="217"/>
      <c r="H273" s="218" t="s">
        <v>16189</v>
      </c>
      <c r="I273" s="219" t="s">
        <v>1123</v>
      </c>
      <c r="J273" s="219" t="s">
        <v>16190</v>
      </c>
      <c r="K273" s="273"/>
      <c r="L273" s="273"/>
      <c r="M273" s="273"/>
      <c r="N273" s="273"/>
      <c r="O273" s="273"/>
      <c r="P273" s="220"/>
      <c r="Q273" s="274"/>
      <c r="R273" s="217" t="str">
        <f ca="1">IF(ISERROR($V273),"",OFFSET('Smelter Look-up'!$C$4,$V273-4,0)&amp;"")</f>
        <v/>
      </c>
      <c r="S273" s="225" t="str">
        <f t="shared" ca="1" si="39"/>
        <v>CN</v>
      </c>
      <c r="T273" s="225" t="str">
        <f ca="1">IF(B273="","",IF(ISERROR(MATCH($J273,SorP!$B$1:$B$6230,0)),"",INDIRECT("'SorP'!$A$"&amp;MATCH($J273,SorP!$B$1:$B$6230,0))))</f>
        <v/>
      </c>
      <c r="U273" s="241"/>
      <c r="V273" s="275">
        <f>IF(C273="",NA(),MATCH($B273&amp;$C273,'Smelter Look-up'!$J:$J,0))</f>
        <v>484</v>
      </c>
      <c r="W273" s="276"/>
      <c r="X273" s="276">
        <f t="shared" si="40"/>
        <v>0</v>
      </c>
      <c r="Y273" s="276"/>
      <c r="Z273" s="276"/>
      <c r="AB273" s="278" t="str">
        <f t="shared" si="41"/>
        <v>TinSmelter not listed</v>
      </c>
    </row>
    <row r="274" spans="1:28" s="277" customFormat="1" ht="37.799999999999997">
      <c r="A274" s="216"/>
      <c r="B274" s="217" t="s">
        <v>1154</v>
      </c>
      <c r="C274" s="221" t="s">
        <v>1898</v>
      </c>
      <c r="D274" s="283" t="s">
        <v>16191</v>
      </c>
      <c r="E274" s="217" t="s">
        <v>1131</v>
      </c>
      <c r="F274" s="217"/>
      <c r="G274" s="217"/>
      <c r="H274" s="218" t="s">
        <v>16192</v>
      </c>
      <c r="I274" s="219" t="s">
        <v>16193</v>
      </c>
      <c r="J274" s="219" t="s">
        <v>16194</v>
      </c>
      <c r="K274" s="273"/>
      <c r="L274" s="273"/>
      <c r="M274" s="273"/>
      <c r="N274" s="273"/>
      <c r="O274" s="273"/>
      <c r="P274" s="220"/>
      <c r="Q274" s="274"/>
      <c r="R274" s="217" t="str">
        <f ca="1">IF(ISERROR($V274),"",OFFSET('Smelter Look-up'!$C$4,$V274-4,0)&amp;"")</f>
        <v/>
      </c>
      <c r="S274" s="225" t="str">
        <f t="shared" ca="1" si="39"/>
        <v>JP</v>
      </c>
      <c r="T274" s="225" t="str">
        <f ca="1">IF(B274="","",IF(ISERROR(MATCH($J274,SorP!$B$1:$B$6230,0)),"",INDIRECT("'SorP'!$A$"&amp;MATCH($J274,SorP!$B$1:$B$6230,0))))</f>
        <v/>
      </c>
      <c r="U274" s="241"/>
      <c r="V274" s="275">
        <f>IF(C274="",NA(),MATCH($B274&amp;$C274,'Smelter Look-up'!$J:$J,0))</f>
        <v>484</v>
      </c>
      <c r="W274" s="276"/>
      <c r="X274" s="276">
        <f t="shared" si="40"/>
        <v>0</v>
      </c>
      <c r="Y274" s="276"/>
      <c r="Z274" s="276"/>
      <c r="AB274" s="278" t="str">
        <f t="shared" si="41"/>
        <v>TinSmelter not listed</v>
      </c>
    </row>
    <row r="275" spans="1:28" s="277" customFormat="1" ht="37.799999999999997">
      <c r="A275" s="216"/>
      <c r="B275" s="217" t="s">
        <v>1154</v>
      </c>
      <c r="C275" s="221" t="s">
        <v>1898</v>
      </c>
      <c r="D275" s="283" t="s">
        <v>16195</v>
      </c>
      <c r="E275" s="217" t="s">
        <v>906</v>
      </c>
      <c r="F275" s="217"/>
      <c r="G275" s="217"/>
      <c r="H275" s="218" t="s">
        <v>15849</v>
      </c>
      <c r="I275" s="219" t="s">
        <v>1611</v>
      </c>
      <c r="J275" s="219" t="s">
        <v>10330</v>
      </c>
      <c r="K275" s="273"/>
      <c r="L275" s="273"/>
      <c r="M275" s="273"/>
      <c r="N275" s="273"/>
      <c r="O275" s="273" t="s">
        <v>16196</v>
      </c>
      <c r="P275" s="220"/>
      <c r="Q275" s="274"/>
      <c r="R275" s="217" t="str">
        <f ca="1">IF(ISERROR($V275),"",OFFSET('Smelter Look-up'!$C$4,$V275-4,0)&amp;"")</f>
        <v/>
      </c>
      <c r="S275" s="225" t="str">
        <f t="shared" ca="1" si="39"/>
        <v>RU</v>
      </c>
      <c r="T275" s="225" t="str">
        <f ca="1">IF(B275="","",IF(ISERROR(MATCH($J275,SorP!$B$1:$B$6230,0)),"",INDIRECT("'SorP'!$A$"&amp;MATCH($J275,SorP!$B$1:$B$6230,0))))</f>
        <v>RU-NVS</v>
      </c>
      <c r="U275" s="241"/>
      <c r="V275" s="275">
        <f>IF(C275="",NA(),MATCH($B275&amp;$C275,'Smelter Look-up'!$J:$J,0))</f>
        <v>484</v>
      </c>
      <c r="W275" s="276"/>
      <c r="X275" s="276">
        <f t="shared" si="40"/>
        <v>0</v>
      </c>
      <c r="Y275" s="276"/>
      <c r="Z275" s="276"/>
      <c r="AB275" s="278" t="str">
        <f t="shared" si="41"/>
        <v>TinSmelter not listed</v>
      </c>
    </row>
    <row r="276" spans="1:28" s="277" customFormat="1" ht="50.4">
      <c r="A276" s="216"/>
      <c r="B276" s="217" t="s">
        <v>1154</v>
      </c>
      <c r="C276" s="221" t="s">
        <v>1898</v>
      </c>
      <c r="D276" s="283" t="s">
        <v>16197</v>
      </c>
      <c r="E276" s="217" t="s">
        <v>1128</v>
      </c>
      <c r="F276" s="217"/>
      <c r="G276" s="217"/>
      <c r="H276" s="218" t="s">
        <v>16198</v>
      </c>
      <c r="I276" s="219" t="s">
        <v>16199</v>
      </c>
      <c r="J276" s="219" t="s">
        <v>13183</v>
      </c>
      <c r="K276" s="273"/>
      <c r="L276" s="273"/>
      <c r="M276" s="273"/>
      <c r="N276" s="273" t="s">
        <v>15734</v>
      </c>
      <c r="O276" s="273" t="s">
        <v>16200</v>
      </c>
      <c r="P276" s="220"/>
      <c r="Q276" s="274"/>
      <c r="R276" s="217" t="str">
        <f ca="1">IF(ISERROR($V276),"",OFFSET('Smelter Look-up'!$C$4,$V276-4,0)&amp;"")</f>
        <v/>
      </c>
      <c r="S276" s="225" t="str">
        <f t="shared" ca="1" si="39"/>
        <v>ID</v>
      </c>
      <c r="T276" s="225" t="str">
        <f ca="1">IF(B276="","",IF(ISERROR(MATCH($J276,SorP!$B$1:$B$6230,0)),"",INDIRECT("'SorP'!$A$"&amp;MATCH($J276,SorP!$B$1:$B$6230,0))))</f>
        <v>ID-BB</v>
      </c>
      <c r="U276" s="241"/>
      <c r="V276" s="275">
        <f>IF(C276="",NA(),MATCH($B276&amp;$C276,'Smelter Look-up'!$J:$J,0))</f>
        <v>484</v>
      </c>
      <c r="W276" s="276"/>
      <c r="X276" s="276">
        <f t="shared" si="40"/>
        <v>0</v>
      </c>
      <c r="Y276" s="276"/>
      <c r="Z276" s="276"/>
      <c r="AB276" s="278" t="str">
        <f t="shared" si="41"/>
        <v>TinSmelter not listed</v>
      </c>
    </row>
    <row r="277" spans="1:28" s="277" customFormat="1" ht="37.799999999999997">
      <c r="A277" s="216"/>
      <c r="B277" s="217" t="s">
        <v>1154</v>
      </c>
      <c r="C277" s="221" t="s">
        <v>1898</v>
      </c>
      <c r="D277" s="283" t="s">
        <v>16201</v>
      </c>
      <c r="E277" s="217" t="s">
        <v>1128</v>
      </c>
      <c r="F277" s="217"/>
      <c r="G277" s="217"/>
      <c r="H277" s="218" t="s">
        <v>16202</v>
      </c>
      <c r="I277" s="219" t="s">
        <v>16203</v>
      </c>
      <c r="J277" s="219" t="s">
        <v>13183</v>
      </c>
      <c r="K277" s="273"/>
      <c r="L277" s="273"/>
      <c r="M277" s="273"/>
      <c r="N277" s="273" t="s">
        <v>16204</v>
      </c>
      <c r="O277" s="273" t="s">
        <v>16205</v>
      </c>
      <c r="P277" s="220"/>
      <c r="Q277" s="274" t="s">
        <v>15513</v>
      </c>
      <c r="R277" s="217" t="str">
        <f ca="1">IF(ISERROR($V277),"",OFFSET('Smelter Look-up'!$C$4,$V277-4,0)&amp;"")</f>
        <v/>
      </c>
      <c r="S277" s="225" t="str">
        <f t="shared" ca="1" si="39"/>
        <v>ID</v>
      </c>
      <c r="T277" s="225" t="str">
        <f ca="1">IF(B277="","",IF(ISERROR(MATCH($J277,SorP!$B$1:$B$6230,0)),"",INDIRECT("'SorP'!$A$"&amp;MATCH($J277,SorP!$B$1:$B$6230,0))))</f>
        <v>ID-BB</v>
      </c>
      <c r="U277" s="241"/>
      <c r="V277" s="275">
        <f>IF(C277="",NA(),MATCH($B277&amp;$C277,'Smelter Look-up'!$J:$J,0))</f>
        <v>484</v>
      </c>
      <c r="W277" s="276"/>
      <c r="X277" s="276">
        <f t="shared" si="40"/>
        <v>0</v>
      </c>
      <c r="Y277" s="276"/>
      <c r="Z277" s="276"/>
      <c r="AB277" s="278" t="str">
        <f t="shared" si="41"/>
        <v>TinSmelter not listed</v>
      </c>
    </row>
    <row r="278" spans="1:28" s="277" customFormat="1" ht="63">
      <c r="A278" s="216"/>
      <c r="B278" s="217" t="s">
        <v>1154</v>
      </c>
      <c r="C278" s="221" t="s">
        <v>1898</v>
      </c>
      <c r="D278" s="283" t="s">
        <v>16206</v>
      </c>
      <c r="E278" s="217" t="s">
        <v>1128</v>
      </c>
      <c r="F278" s="217"/>
      <c r="G278" s="217"/>
      <c r="H278" s="218" t="s">
        <v>16207</v>
      </c>
      <c r="I278" s="219" t="s">
        <v>16208</v>
      </c>
      <c r="J278" s="219" t="s">
        <v>13183</v>
      </c>
      <c r="K278" s="273"/>
      <c r="L278" s="273"/>
      <c r="M278" s="273"/>
      <c r="N278" s="273" t="s">
        <v>16209</v>
      </c>
      <c r="O278" s="273" t="s">
        <v>16210</v>
      </c>
      <c r="P278" s="220"/>
      <c r="Q278" s="274" t="s">
        <v>15513</v>
      </c>
      <c r="R278" s="217" t="str">
        <f ca="1">IF(ISERROR($V278),"",OFFSET('Smelter Look-up'!$C$4,$V278-4,0)&amp;"")</f>
        <v/>
      </c>
      <c r="S278" s="225" t="str">
        <f t="shared" ca="1" si="39"/>
        <v>ID</v>
      </c>
      <c r="T278" s="225" t="str">
        <f ca="1">IF(B278="","",IF(ISERROR(MATCH($J278,SorP!$B$1:$B$6230,0)),"",INDIRECT("'SorP'!$A$"&amp;MATCH($J278,SorP!$B$1:$B$6230,0))))</f>
        <v>ID-BB</v>
      </c>
      <c r="U278" s="241"/>
      <c r="V278" s="275">
        <f>IF(C278="",NA(),MATCH($B278&amp;$C278,'Smelter Look-up'!$J:$J,0))</f>
        <v>484</v>
      </c>
      <c r="W278" s="276"/>
      <c r="X278" s="276">
        <f t="shared" si="40"/>
        <v>0</v>
      </c>
      <c r="Y278" s="276"/>
      <c r="Z278" s="276"/>
      <c r="AB278" s="278" t="str">
        <f t="shared" si="41"/>
        <v>TinSmelter not listed</v>
      </c>
    </row>
    <row r="279" spans="1:28" s="277" customFormat="1" ht="50.4">
      <c r="A279" s="216"/>
      <c r="B279" s="217" t="s">
        <v>1154</v>
      </c>
      <c r="C279" s="221" t="s">
        <v>1898</v>
      </c>
      <c r="D279" s="283" t="s">
        <v>16211</v>
      </c>
      <c r="E279" s="217" t="s">
        <v>1128</v>
      </c>
      <c r="F279" s="217"/>
      <c r="G279" s="217"/>
      <c r="H279" s="218" t="s">
        <v>16212</v>
      </c>
      <c r="I279" s="219" t="s">
        <v>16181</v>
      </c>
      <c r="J279" s="219" t="s">
        <v>13183</v>
      </c>
      <c r="K279" s="273"/>
      <c r="L279" s="273"/>
      <c r="M279" s="273"/>
      <c r="N279" s="273" t="s">
        <v>16213</v>
      </c>
      <c r="O279" s="273" t="s">
        <v>16214</v>
      </c>
      <c r="P279" s="220"/>
      <c r="Q279" s="274"/>
      <c r="R279" s="217" t="str">
        <f ca="1">IF(ISERROR($V279),"",OFFSET('Smelter Look-up'!$C$4,$V279-4,0)&amp;"")</f>
        <v/>
      </c>
      <c r="S279" s="225" t="str">
        <f t="shared" ca="1" si="39"/>
        <v>ID</v>
      </c>
      <c r="T279" s="225" t="str">
        <f ca="1">IF(B279="","",IF(ISERROR(MATCH($J279,SorP!$B$1:$B$6230,0)),"",INDIRECT("'SorP'!$A$"&amp;MATCH($J279,SorP!$B$1:$B$6230,0))))</f>
        <v>ID-BB</v>
      </c>
      <c r="U279" s="241"/>
      <c r="V279" s="275">
        <f>IF(C279="",NA(),MATCH($B279&amp;$C279,'Smelter Look-up'!$J:$J,0))</f>
        <v>484</v>
      </c>
      <c r="W279" s="276"/>
      <c r="X279" s="276">
        <f t="shared" si="40"/>
        <v>0</v>
      </c>
      <c r="Y279" s="276"/>
      <c r="Z279" s="276"/>
      <c r="AB279" s="278" t="str">
        <f t="shared" si="41"/>
        <v>TinSmelter not listed</v>
      </c>
    </row>
    <row r="280" spans="1:28" s="277" customFormat="1" ht="37.799999999999997">
      <c r="A280" s="216"/>
      <c r="B280" s="217" t="s">
        <v>1154</v>
      </c>
      <c r="C280" s="221" t="s">
        <v>1898</v>
      </c>
      <c r="D280" s="283" t="s">
        <v>16215</v>
      </c>
      <c r="E280" s="217" t="s">
        <v>1128</v>
      </c>
      <c r="F280" s="217"/>
      <c r="G280" s="217"/>
      <c r="H280" s="218" t="s">
        <v>16216</v>
      </c>
      <c r="I280" s="219" t="s">
        <v>16181</v>
      </c>
      <c r="J280" s="219" t="s">
        <v>16217</v>
      </c>
      <c r="K280" s="273"/>
      <c r="L280" s="273"/>
      <c r="M280" s="273"/>
      <c r="N280" s="273"/>
      <c r="O280" s="273"/>
      <c r="P280" s="220"/>
      <c r="Q280" s="274"/>
      <c r="R280" s="217" t="str">
        <f ca="1">IF(ISERROR($V280),"",OFFSET('Smelter Look-up'!$C$4,$V280-4,0)&amp;"")</f>
        <v/>
      </c>
      <c r="S280" s="225" t="str">
        <f t="shared" ca="1" si="39"/>
        <v>ID</v>
      </c>
      <c r="T280" s="225" t="str">
        <f ca="1">IF(B280="","",IF(ISERROR(MATCH($J280,SorP!$B$1:$B$6230,0)),"",INDIRECT("'SorP'!$A$"&amp;MATCH($J280,SorP!$B$1:$B$6230,0))))</f>
        <v/>
      </c>
      <c r="U280" s="241"/>
      <c r="V280" s="275">
        <f>IF(C280="",NA(),MATCH($B280&amp;$C280,'Smelter Look-up'!$J:$J,0))</f>
        <v>484</v>
      </c>
      <c r="W280" s="276"/>
      <c r="X280" s="276">
        <f t="shared" si="40"/>
        <v>0</v>
      </c>
      <c r="Y280" s="276"/>
      <c r="Z280" s="276"/>
      <c r="AB280" s="278" t="str">
        <f t="shared" si="41"/>
        <v>TinSmelter not listed</v>
      </c>
    </row>
    <row r="281" spans="1:28" s="277" customFormat="1" ht="37.799999999999997">
      <c r="A281" s="216"/>
      <c r="B281" s="217" t="s">
        <v>1154</v>
      </c>
      <c r="C281" s="221" t="s">
        <v>1898</v>
      </c>
      <c r="D281" s="283" t="s">
        <v>16218</v>
      </c>
      <c r="E281" s="217" t="s">
        <v>1128</v>
      </c>
      <c r="F281" s="217"/>
      <c r="G281" s="217"/>
      <c r="H281" s="218" t="s">
        <v>16219</v>
      </c>
      <c r="I281" s="219" t="s">
        <v>16220</v>
      </c>
      <c r="J281" s="219" t="s">
        <v>13183</v>
      </c>
      <c r="K281" s="273"/>
      <c r="L281" s="273"/>
      <c r="M281" s="273"/>
      <c r="N281" s="273" t="s">
        <v>15734</v>
      </c>
      <c r="O281" s="273" t="s">
        <v>16178</v>
      </c>
      <c r="P281" s="220"/>
      <c r="Q281" s="274"/>
      <c r="R281" s="217" t="str">
        <f ca="1">IF(ISERROR($V281),"",OFFSET('Smelter Look-up'!$C$4,$V281-4,0)&amp;"")</f>
        <v/>
      </c>
      <c r="S281" s="225" t="str">
        <f t="shared" ca="1" si="39"/>
        <v>ID</v>
      </c>
      <c r="T281" s="225" t="str">
        <f ca="1">IF(B281="","",IF(ISERROR(MATCH($J281,SorP!$B$1:$B$6230,0)),"",INDIRECT("'SorP'!$A$"&amp;MATCH($J281,SorP!$B$1:$B$6230,0))))</f>
        <v>ID-BB</v>
      </c>
      <c r="U281" s="241"/>
      <c r="V281" s="275">
        <f>IF(C281="",NA(),MATCH($B281&amp;$C281,'Smelter Look-up'!$J:$J,0))</f>
        <v>484</v>
      </c>
      <c r="W281" s="276"/>
      <c r="X281" s="276">
        <f t="shared" si="40"/>
        <v>0</v>
      </c>
      <c r="Y281" s="276"/>
      <c r="Z281" s="276"/>
      <c r="AB281" s="278" t="str">
        <f t="shared" si="41"/>
        <v>TinSmelter not listed</v>
      </c>
    </row>
    <row r="282" spans="1:28" s="277" customFormat="1" ht="113.4">
      <c r="A282" s="216"/>
      <c r="B282" s="217" t="s">
        <v>1154</v>
      </c>
      <c r="C282" s="221" t="s">
        <v>1898</v>
      </c>
      <c r="D282" s="283" t="s">
        <v>16221</v>
      </c>
      <c r="E282" s="217" t="s">
        <v>1128</v>
      </c>
      <c r="F282" s="217"/>
      <c r="G282" s="217"/>
      <c r="H282" s="218" t="s">
        <v>16222</v>
      </c>
      <c r="I282" s="219" t="s">
        <v>16223</v>
      </c>
      <c r="J282" s="219" t="s">
        <v>13183</v>
      </c>
      <c r="K282" s="273"/>
      <c r="L282" s="273"/>
      <c r="M282" s="273"/>
      <c r="N282" s="273" t="s">
        <v>16209</v>
      </c>
      <c r="O282" s="273" t="s">
        <v>16224</v>
      </c>
      <c r="P282" s="220"/>
      <c r="Q282" s="274" t="s">
        <v>15513</v>
      </c>
      <c r="R282" s="217" t="str">
        <f ca="1">IF(ISERROR($V282),"",OFFSET('Smelter Look-up'!$C$4,$V282-4,0)&amp;"")</f>
        <v/>
      </c>
      <c r="S282" s="225" t="str">
        <f t="shared" ca="1" si="39"/>
        <v>ID</v>
      </c>
      <c r="T282" s="225" t="str">
        <f ca="1">IF(B282="","",IF(ISERROR(MATCH($J282,SorP!$B$1:$B$6230,0)),"",INDIRECT("'SorP'!$A$"&amp;MATCH($J282,SorP!$B$1:$B$6230,0))))</f>
        <v>ID-BB</v>
      </c>
      <c r="U282" s="241"/>
      <c r="V282" s="275">
        <f>IF(C282="",NA(),MATCH($B282&amp;$C282,'Smelter Look-up'!$J:$J,0))</f>
        <v>484</v>
      </c>
      <c r="W282" s="276"/>
      <c r="X282" s="276">
        <f t="shared" si="40"/>
        <v>0</v>
      </c>
      <c r="Y282" s="276"/>
      <c r="Z282" s="276"/>
      <c r="AB282" s="278" t="str">
        <f t="shared" si="41"/>
        <v>TinSmelter not listed</v>
      </c>
    </row>
    <row r="283" spans="1:28" s="277" customFormat="1" ht="63">
      <c r="A283" s="216"/>
      <c r="B283" s="217" t="s">
        <v>1154</v>
      </c>
      <c r="C283" s="221" t="s">
        <v>1898</v>
      </c>
      <c r="D283" s="283" t="s">
        <v>16225</v>
      </c>
      <c r="E283" s="217" t="s">
        <v>1128</v>
      </c>
      <c r="F283" s="217"/>
      <c r="G283" s="217"/>
      <c r="H283" s="218" t="s">
        <v>16180</v>
      </c>
      <c r="I283" s="219" t="s">
        <v>16181</v>
      </c>
      <c r="J283" s="219" t="s">
        <v>13183</v>
      </c>
      <c r="K283" s="273"/>
      <c r="L283" s="273"/>
      <c r="M283" s="273"/>
      <c r="N283" s="273" t="s">
        <v>16209</v>
      </c>
      <c r="O283" s="273" t="s">
        <v>16226</v>
      </c>
      <c r="P283" s="220"/>
      <c r="Q283" s="274" t="s">
        <v>15513</v>
      </c>
      <c r="R283" s="217" t="str">
        <f ca="1">IF(ISERROR($V283),"",OFFSET('Smelter Look-up'!$C$4,$V283-4,0)&amp;"")</f>
        <v/>
      </c>
      <c r="S283" s="225" t="str">
        <f t="shared" ca="1" si="39"/>
        <v>ID</v>
      </c>
      <c r="T283" s="225" t="str">
        <f ca="1">IF(B283="","",IF(ISERROR(MATCH($J283,SorP!$B$1:$B$6230,0)),"",INDIRECT("'SorP'!$A$"&amp;MATCH($J283,SorP!$B$1:$B$6230,0))))</f>
        <v>ID-BB</v>
      </c>
      <c r="U283" s="241"/>
      <c r="V283" s="275">
        <f>IF(C283="",NA(),MATCH($B283&amp;$C283,'Smelter Look-up'!$J:$J,0))</f>
        <v>484</v>
      </c>
      <c r="W283" s="276"/>
      <c r="X283" s="276">
        <f t="shared" si="40"/>
        <v>0</v>
      </c>
      <c r="Y283" s="276"/>
      <c r="Z283" s="276"/>
      <c r="AB283" s="278" t="str">
        <f t="shared" si="41"/>
        <v>TinSmelter not listed</v>
      </c>
    </row>
    <row r="284" spans="1:28" s="277" customFormat="1" ht="37.799999999999997">
      <c r="A284" s="216"/>
      <c r="B284" s="217" t="s">
        <v>1154</v>
      </c>
      <c r="C284" s="221" t="s">
        <v>1898</v>
      </c>
      <c r="D284" s="283" t="s">
        <v>16227</v>
      </c>
      <c r="E284" s="217" t="s">
        <v>1128</v>
      </c>
      <c r="F284" s="217"/>
      <c r="G284" s="217"/>
      <c r="H284" s="218" t="s">
        <v>16228</v>
      </c>
      <c r="I284" s="219" t="s">
        <v>16229</v>
      </c>
      <c r="J284" s="219" t="s">
        <v>16217</v>
      </c>
      <c r="K284" s="273"/>
      <c r="L284" s="273"/>
      <c r="M284" s="273"/>
      <c r="N284" s="273" t="s">
        <v>16230</v>
      </c>
      <c r="O284" s="273" t="s">
        <v>16231</v>
      </c>
      <c r="P284" s="220"/>
      <c r="Q284" s="274" t="s">
        <v>15513</v>
      </c>
      <c r="R284" s="217" t="str">
        <f ca="1">IF(ISERROR($V284),"",OFFSET('Smelter Look-up'!$C$4,$V284-4,0)&amp;"")</f>
        <v/>
      </c>
      <c r="S284" s="225" t="str">
        <f t="shared" ca="1" si="39"/>
        <v>ID</v>
      </c>
      <c r="T284" s="225" t="str">
        <f ca="1">IF(B284="","",IF(ISERROR(MATCH($J284,SorP!$B$1:$B$6230,0)),"",INDIRECT("'SorP'!$A$"&amp;MATCH($J284,SorP!$B$1:$B$6230,0))))</f>
        <v/>
      </c>
      <c r="U284" s="241"/>
      <c r="V284" s="275">
        <f>IF(C284="",NA(),MATCH($B284&amp;$C284,'Smelter Look-up'!$J:$J,0))</f>
        <v>484</v>
      </c>
      <c r="W284" s="276"/>
      <c r="X284" s="276">
        <f t="shared" si="40"/>
        <v>0</v>
      </c>
      <c r="Y284" s="276"/>
      <c r="Z284" s="276"/>
      <c r="AB284" s="278" t="str">
        <f t="shared" si="41"/>
        <v>TinSmelter not listed</v>
      </c>
    </row>
    <row r="285" spans="1:28" s="277" customFormat="1" ht="163.80000000000001">
      <c r="A285" s="216"/>
      <c r="B285" s="217" t="s">
        <v>1154</v>
      </c>
      <c r="C285" s="221" t="s">
        <v>1898</v>
      </c>
      <c r="D285" s="283" t="s">
        <v>16232</v>
      </c>
      <c r="E285" s="217" t="s">
        <v>1128</v>
      </c>
      <c r="F285" s="217"/>
      <c r="G285" s="217"/>
      <c r="H285" s="218" t="s">
        <v>16180</v>
      </c>
      <c r="I285" s="219" t="s">
        <v>16181</v>
      </c>
      <c r="J285" s="219" t="s">
        <v>13183</v>
      </c>
      <c r="K285" s="273"/>
      <c r="L285" s="273"/>
      <c r="M285" s="273"/>
      <c r="N285" s="273" t="s">
        <v>16209</v>
      </c>
      <c r="O285" s="273" t="s">
        <v>16233</v>
      </c>
      <c r="P285" s="220"/>
      <c r="Q285" s="274" t="s">
        <v>15513</v>
      </c>
      <c r="R285" s="217" t="str">
        <f ca="1">IF(ISERROR($V285),"",OFFSET('Smelter Look-up'!$C$4,$V285-4,0)&amp;"")</f>
        <v/>
      </c>
      <c r="S285" s="225" t="str">
        <f t="shared" ca="1" si="39"/>
        <v>ID</v>
      </c>
      <c r="T285" s="225" t="str">
        <f ca="1">IF(B285="","",IF(ISERROR(MATCH($J285,SorP!$B$1:$B$6230,0)),"",INDIRECT("'SorP'!$A$"&amp;MATCH($J285,SorP!$B$1:$B$6230,0))))</f>
        <v>ID-BB</v>
      </c>
      <c r="U285" s="241"/>
      <c r="V285" s="275">
        <f>IF(C285="",NA(),MATCH($B285&amp;$C285,'Smelter Look-up'!$J:$J,0))</f>
        <v>484</v>
      </c>
      <c r="W285" s="276"/>
      <c r="X285" s="276">
        <f t="shared" si="40"/>
        <v>0</v>
      </c>
      <c r="Y285" s="276"/>
      <c r="Z285" s="276"/>
      <c r="AB285" s="278" t="str">
        <f t="shared" si="41"/>
        <v>TinSmelter not listed</v>
      </c>
    </row>
    <row r="286" spans="1:28" s="277" customFormat="1" ht="63">
      <c r="A286" s="216"/>
      <c r="B286" s="217" t="s">
        <v>1154</v>
      </c>
      <c r="C286" s="221" t="s">
        <v>1898</v>
      </c>
      <c r="D286" s="283" t="s">
        <v>16234</v>
      </c>
      <c r="E286" s="217" t="s">
        <v>1128</v>
      </c>
      <c r="F286" s="217"/>
      <c r="G286" s="217"/>
      <c r="H286" s="218" t="s">
        <v>16212</v>
      </c>
      <c r="I286" s="219" t="s">
        <v>16181</v>
      </c>
      <c r="J286" s="219" t="s">
        <v>13183</v>
      </c>
      <c r="K286" s="273"/>
      <c r="L286" s="273"/>
      <c r="M286" s="273"/>
      <c r="N286" s="273" t="s">
        <v>16235</v>
      </c>
      <c r="O286" s="273" t="s">
        <v>16236</v>
      </c>
      <c r="P286" s="220"/>
      <c r="Q286" s="274" t="s">
        <v>15513</v>
      </c>
      <c r="R286" s="217" t="str">
        <f ca="1">IF(ISERROR($V286),"",OFFSET('Smelter Look-up'!$C$4,$V286-4,0)&amp;"")</f>
        <v/>
      </c>
      <c r="S286" s="225" t="str">
        <f t="shared" ca="1" si="39"/>
        <v>ID</v>
      </c>
      <c r="T286" s="225" t="str">
        <f ca="1">IF(B286="","",IF(ISERROR(MATCH($J286,SorP!$B$1:$B$6230,0)),"",INDIRECT("'SorP'!$A$"&amp;MATCH($J286,SorP!$B$1:$B$6230,0))))</f>
        <v>ID-BB</v>
      </c>
      <c r="U286" s="241"/>
      <c r="V286" s="275">
        <f>IF(C286="",NA(),MATCH($B286&amp;$C286,'Smelter Look-up'!$J:$J,0))</f>
        <v>484</v>
      </c>
      <c r="W286" s="276"/>
      <c r="X286" s="276">
        <f t="shared" si="40"/>
        <v>0</v>
      </c>
      <c r="Y286" s="276"/>
      <c r="Z286" s="276"/>
      <c r="AB286" s="278" t="str">
        <f t="shared" si="41"/>
        <v>TinSmelter not listed</v>
      </c>
    </row>
    <row r="287" spans="1:28" s="277" customFormat="1" ht="37.799999999999997">
      <c r="A287" s="216"/>
      <c r="B287" s="217" t="s">
        <v>1154</v>
      </c>
      <c r="C287" s="221" t="s">
        <v>1898</v>
      </c>
      <c r="D287" s="283" t="s">
        <v>16237</v>
      </c>
      <c r="E287" s="217" t="s">
        <v>1128</v>
      </c>
      <c r="F287" s="217"/>
      <c r="G287" s="217"/>
      <c r="H287" s="218" t="s">
        <v>16238</v>
      </c>
      <c r="I287" s="219" t="s">
        <v>16239</v>
      </c>
      <c r="J287" s="219" t="s">
        <v>13183</v>
      </c>
      <c r="K287" s="273"/>
      <c r="L287" s="273"/>
      <c r="M287" s="273"/>
      <c r="N287" s="273" t="s">
        <v>15734</v>
      </c>
      <c r="O287" s="273" t="s">
        <v>16240</v>
      </c>
      <c r="P287" s="220"/>
      <c r="Q287" s="274"/>
      <c r="R287" s="217" t="str">
        <f ca="1">IF(ISERROR($V287),"",OFFSET('Smelter Look-up'!$C$4,$V287-4,0)&amp;"")</f>
        <v/>
      </c>
      <c r="S287" s="225" t="str">
        <f t="shared" ca="1" si="39"/>
        <v>ID</v>
      </c>
      <c r="T287" s="225" t="str">
        <f ca="1">IF(B287="","",IF(ISERROR(MATCH($J287,SorP!$B$1:$B$6230,0)),"",INDIRECT("'SorP'!$A$"&amp;MATCH($J287,SorP!$B$1:$B$6230,0))))</f>
        <v>ID-BB</v>
      </c>
      <c r="U287" s="241"/>
      <c r="V287" s="275">
        <f>IF(C287="",NA(),MATCH($B287&amp;$C287,'Smelter Look-up'!$J:$J,0))</f>
        <v>484</v>
      </c>
      <c r="W287" s="276"/>
      <c r="X287" s="276">
        <f t="shared" si="40"/>
        <v>0</v>
      </c>
      <c r="Y287" s="276"/>
      <c r="Z287" s="276"/>
      <c r="AB287" s="278" t="str">
        <f t="shared" si="41"/>
        <v>TinSmelter not listed</v>
      </c>
    </row>
    <row r="288" spans="1:28" s="277" customFormat="1" ht="37.799999999999997">
      <c r="A288" s="216"/>
      <c r="B288" s="217" t="s">
        <v>1154</v>
      </c>
      <c r="C288" s="221" t="s">
        <v>1898</v>
      </c>
      <c r="D288" s="283" t="s">
        <v>16241</v>
      </c>
      <c r="E288" s="217" t="s">
        <v>1128</v>
      </c>
      <c r="F288" s="217"/>
      <c r="G288" s="217"/>
      <c r="H288" s="218" t="s">
        <v>16180</v>
      </c>
      <c r="I288" s="219" t="s">
        <v>16181</v>
      </c>
      <c r="J288" s="219" t="s">
        <v>13183</v>
      </c>
      <c r="K288" s="273"/>
      <c r="L288" s="273"/>
      <c r="M288" s="273"/>
      <c r="N288" s="273" t="s">
        <v>16242</v>
      </c>
      <c r="O288" s="273" t="s">
        <v>16243</v>
      </c>
      <c r="P288" s="220"/>
      <c r="Q288" s="274" t="s">
        <v>15513</v>
      </c>
      <c r="R288" s="217" t="str">
        <f ca="1">IF(ISERROR($V288),"",OFFSET('Smelter Look-up'!$C$4,$V288-4,0)&amp;"")</f>
        <v/>
      </c>
      <c r="S288" s="225" t="str">
        <f t="shared" ca="1" si="39"/>
        <v>ID</v>
      </c>
      <c r="T288" s="225" t="str">
        <f ca="1">IF(B288="","",IF(ISERROR(MATCH($J288,SorP!$B$1:$B$6230,0)),"",INDIRECT("'SorP'!$A$"&amp;MATCH($J288,SorP!$B$1:$B$6230,0))))</f>
        <v>ID-BB</v>
      </c>
      <c r="U288" s="241"/>
      <c r="V288" s="275">
        <f>IF(C288="",NA(),MATCH($B288&amp;$C288,'Smelter Look-up'!$J:$J,0))</f>
        <v>484</v>
      </c>
      <c r="W288" s="276"/>
      <c r="X288" s="276">
        <f t="shared" si="40"/>
        <v>0</v>
      </c>
      <c r="Y288" s="276"/>
      <c r="Z288" s="276"/>
      <c r="AB288" s="278" t="str">
        <f t="shared" si="41"/>
        <v>TinSmelter not listed</v>
      </c>
    </row>
    <row r="289" spans="1:28" s="277" customFormat="1" ht="37.799999999999997">
      <c r="A289" s="216"/>
      <c r="B289" s="217" t="s">
        <v>1154</v>
      </c>
      <c r="C289" s="221" t="s">
        <v>1898</v>
      </c>
      <c r="D289" s="283" t="s">
        <v>16244</v>
      </c>
      <c r="E289" s="217" t="s">
        <v>1123</v>
      </c>
      <c r="F289" s="217"/>
      <c r="G289" s="217"/>
      <c r="H289" s="218" t="s">
        <v>16245</v>
      </c>
      <c r="I289" s="219" t="s">
        <v>16246</v>
      </c>
      <c r="J289" s="219" t="s">
        <v>16247</v>
      </c>
      <c r="K289" s="273"/>
      <c r="L289" s="273"/>
      <c r="M289" s="273"/>
      <c r="N289" s="273"/>
      <c r="O289" s="273"/>
      <c r="P289" s="220"/>
      <c r="Q289" s="274"/>
      <c r="R289" s="217" t="str">
        <f ca="1">IF(ISERROR($V289),"",OFFSET('Smelter Look-up'!$C$4,$V289-4,0)&amp;"")</f>
        <v/>
      </c>
      <c r="S289" s="225" t="str">
        <f t="shared" ca="1" si="39"/>
        <v>CN</v>
      </c>
      <c r="T289" s="225" t="str">
        <f ca="1">IF(B289="","",IF(ISERROR(MATCH($J289,SorP!$B$1:$B$6230,0)),"",INDIRECT("'SorP'!$A$"&amp;MATCH($J289,SorP!$B$1:$B$6230,0))))</f>
        <v/>
      </c>
      <c r="U289" s="241"/>
      <c r="V289" s="275">
        <f>IF(C289="",NA(),MATCH($B289&amp;$C289,'Smelter Look-up'!$J:$J,0))</f>
        <v>484</v>
      </c>
      <c r="W289" s="276"/>
      <c r="X289" s="276">
        <f t="shared" si="40"/>
        <v>0</v>
      </c>
      <c r="Y289" s="276"/>
      <c r="Z289" s="276"/>
      <c r="AB289" s="278" t="str">
        <f t="shared" si="41"/>
        <v>TinSmelter not listed</v>
      </c>
    </row>
    <row r="290" spans="1:28" s="277" customFormat="1" ht="37.799999999999997">
      <c r="A290" s="216"/>
      <c r="B290" s="217" t="s">
        <v>1154</v>
      </c>
      <c r="C290" s="221" t="s">
        <v>1898</v>
      </c>
      <c r="D290" s="283" t="s">
        <v>16248</v>
      </c>
      <c r="E290" s="217" t="s">
        <v>915</v>
      </c>
      <c r="F290" s="217"/>
      <c r="G290" s="217"/>
      <c r="H290" s="218" t="s">
        <v>16249</v>
      </c>
      <c r="I290" s="219" t="s">
        <v>16250</v>
      </c>
      <c r="J290" s="219" t="s">
        <v>16250</v>
      </c>
      <c r="K290" s="273"/>
      <c r="L290" s="273"/>
      <c r="M290" s="273"/>
      <c r="N290" s="273"/>
      <c r="O290" s="273"/>
      <c r="P290" s="220"/>
      <c r="Q290" s="274"/>
      <c r="R290" s="217" t="str">
        <f ca="1">IF(ISERROR($V290),"",OFFSET('Smelter Look-up'!$C$4,$V290-4,0)&amp;"")</f>
        <v/>
      </c>
      <c r="S290" s="225" t="str">
        <f t="shared" ca="1" si="39"/>
        <v>VN</v>
      </c>
      <c r="T290" s="225" t="str">
        <f ca="1">IF(B290="","",IF(ISERROR(MATCH($J290,SorP!$B$1:$B$6230,0)),"",INDIRECT("'SorP'!$A$"&amp;MATCH($J290,SorP!$B$1:$B$6230,0))))</f>
        <v/>
      </c>
      <c r="U290" s="241"/>
      <c r="V290" s="275">
        <f>IF(C290="",NA(),MATCH($B290&amp;$C290,'Smelter Look-up'!$J:$J,0))</f>
        <v>484</v>
      </c>
      <c r="W290" s="276"/>
      <c r="X290" s="276">
        <f t="shared" si="40"/>
        <v>0</v>
      </c>
      <c r="Y290" s="276"/>
      <c r="Z290" s="276"/>
      <c r="AB290" s="278" t="str">
        <f t="shared" si="41"/>
        <v>TinSmelter not listed</v>
      </c>
    </row>
    <row r="291" spans="1:28" s="277" customFormat="1" ht="50.4">
      <c r="A291" s="216" t="s">
        <v>14244</v>
      </c>
      <c r="B291" s="217" t="s">
        <v>1156</v>
      </c>
      <c r="C291" s="221" t="s">
        <v>14227</v>
      </c>
      <c r="D291" s="283" t="s">
        <v>14227</v>
      </c>
      <c r="E291" s="217" t="s">
        <v>1119</v>
      </c>
      <c r="F291" s="217" t="str">
        <f ca="1">IF(ISERROR($V291),"",OFFSET('Smelter Look-up'!$E$4,$V291-4,0))</f>
        <v>CID003468</v>
      </c>
      <c r="G291" s="217" t="str">
        <f ca="1">IF(C291=$X$4,"Enter smelter details",IF(ISERROR($V291),"",OFFSET('Smelter Look-up'!$F$4,$V291-4,0)))</f>
        <v>RMI</v>
      </c>
      <c r="H291" s="218" t="s">
        <v>16251</v>
      </c>
      <c r="I291" s="219" t="s">
        <v>14255</v>
      </c>
      <c r="J291" s="219" t="s">
        <v>3613</v>
      </c>
      <c r="K291" s="273"/>
      <c r="L291" s="273"/>
      <c r="M291" s="273"/>
      <c r="N291" s="273"/>
      <c r="O291" s="273" t="s">
        <v>15509</v>
      </c>
      <c r="P291" s="220"/>
      <c r="Q291" s="274"/>
      <c r="R291" s="217" t="str">
        <f ca="1">IF(ISERROR($V291),"",OFFSET('Smelter Look-up'!$C$4,$V291-4,0)&amp;"")</f>
        <v>Cronimet Brasil Ltda</v>
      </c>
      <c r="S291" s="225" t="str">
        <f t="shared" ca="1" si="39"/>
        <v>BR</v>
      </c>
      <c r="T291" s="225" t="str">
        <f ca="1">IF(B291="","",IF(ISERROR(MATCH($J291,SorP!$B$1:$B$6230,0)),"",INDIRECT("'SorP'!$A$"&amp;MATCH($J291,SorP!$B$1:$B$6230,0))))</f>
        <v>BR-SC</v>
      </c>
      <c r="U291" s="241"/>
      <c r="V291" s="275">
        <f>IF(C291="",NA(),MATCH($B291&amp;$C291,'Smelter Look-up'!$J:$J,0))</f>
        <v>504</v>
      </c>
      <c r="W291" s="276"/>
      <c r="X291" s="276">
        <f t="shared" si="40"/>
        <v>0</v>
      </c>
      <c r="Y291" s="276"/>
      <c r="Z291" s="276"/>
      <c r="AB291" s="278" t="str">
        <f t="shared" si="41"/>
        <v>TungstenCronimet Brasil Ltda</v>
      </c>
    </row>
    <row r="292" spans="1:28" s="277" customFormat="1" ht="138.6">
      <c r="A292" s="216" t="s">
        <v>14241</v>
      </c>
      <c r="B292" s="217" t="s">
        <v>1156</v>
      </c>
      <c r="C292" s="221" t="s">
        <v>14225</v>
      </c>
      <c r="D292" s="283" t="s">
        <v>14225</v>
      </c>
      <c r="E292" s="217" t="s">
        <v>1119</v>
      </c>
      <c r="F292" s="217" t="str">
        <f ca="1">IF(ISERROR($V292),"",OFFSET('Smelter Look-up'!$E$4,$V292-4,0))</f>
        <v>CID003427</v>
      </c>
      <c r="G292" s="217" t="str">
        <f ca="1">IF(C292=$X$4,"Enter smelter details",IF(ISERROR($V292),"",OFFSET('Smelter Look-up'!$F$4,$V292-4,0)))</f>
        <v>RMI</v>
      </c>
      <c r="H292" s="218" t="s">
        <v>16252</v>
      </c>
      <c r="I292" s="219" t="s">
        <v>2657</v>
      </c>
      <c r="J292" s="219" t="s">
        <v>1708</v>
      </c>
      <c r="K292" s="273"/>
      <c r="L292" s="273"/>
      <c r="M292" s="273"/>
      <c r="N292" s="273"/>
      <c r="O292" s="273" t="s">
        <v>15518</v>
      </c>
      <c r="P292" s="220"/>
      <c r="Q292" s="274"/>
      <c r="R292" s="217" t="str">
        <f ca="1">IF(ISERROR($V292),"",OFFSET('Smelter Look-up'!$C$4,$V292-4,0)&amp;"")</f>
        <v>Albasteel Industria e Comercio de Ligas Para Fundicao Ltd.</v>
      </c>
      <c r="S292" s="225" t="str">
        <f t="shared" ca="1" si="39"/>
        <v>BR</v>
      </c>
      <c r="T292" s="225" t="str">
        <f ca="1">IF(B292="","",IF(ISERROR(MATCH($J292,SorP!$B$1:$B$6230,0)),"",INDIRECT("'SorP'!$A$"&amp;MATCH($J292,SorP!$B$1:$B$6230,0))))</f>
        <v>BR-SP</v>
      </c>
      <c r="U292" s="241"/>
      <c r="V292" s="275">
        <f>IF(C292="",NA(),MATCH($B292&amp;$C292,'Smelter Look-up'!$J:$J,0))</f>
        <v>489</v>
      </c>
      <c r="W292" s="276"/>
      <c r="X292" s="276">
        <f t="shared" si="40"/>
        <v>0</v>
      </c>
      <c r="Y292" s="276"/>
      <c r="Z292" s="276"/>
      <c r="AB292" s="278" t="str">
        <f t="shared" si="41"/>
        <v>TungstenAlbasteel Industria e Comercio de Ligas Para Fundicao Ltd.</v>
      </c>
    </row>
    <row r="293" spans="1:28" s="277" customFormat="1" ht="37.799999999999997">
      <c r="A293" s="216" t="s">
        <v>14245</v>
      </c>
      <c r="B293" s="217" t="s">
        <v>1156</v>
      </c>
      <c r="C293" s="221" t="s">
        <v>14228</v>
      </c>
      <c r="D293" s="283" t="s">
        <v>14228</v>
      </c>
      <c r="E293" s="217" t="s">
        <v>1123</v>
      </c>
      <c r="F293" s="217" t="str">
        <f ca="1">IF(ISERROR($V293),"",OFFSET('Smelter Look-up'!$E$4,$V293-4,0))</f>
        <v>CID003417</v>
      </c>
      <c r="G293" s="217" t="str">
        <f ca="1">IF(C293=$X$4,"Enter smelter details",IF(ISERROR($V293),"",OFFSET('Smelter Look-up'!$F$4,$V293-4,0)))</f>
        <v>RMI</v>
      </c>
      <c r="H293" s="218" t="s">
        <v>16253</v>
      </c>
      <c r="I293" s="219" t="s">
        <v>15926</v>
      </c>
      <c r="J293" s="219" t="s">
        <v>13971</v>
      </c>
      <c r="K293" s="273"/>
      <c r="L293" s="273"/>
      <c r="M293" s="273"/>
      <c r="N293" s="273"/>
      <c r="O293" s="273" t="s">
        <v>15509</v>
      </c>
      <c r="P293" s="220"/>
      <c r="Q293" s="274"/>
      <c r="R293" s="217" t="str">
        <f ca="1">IF(ISERROR($V293),"",OFFSET('Smelter Look-up'!$C$4,$V293-4,0)&amp;"")</f>
        <v>GEM Co., Ltd.</v>
      </c>
      <c r="S293" s="225" t="str">
        <f t="shared" ca="1" si="39"/>
        <v>CN</v>
      </c>
      <c r="T293" s="225" t="str">
        <f ca="1">IF(B293="","",IF(ISERROR(MATCH($J293,SorP!$B$1:$B$6230,0)),"",INDIRECT("'SorP'!$A$"&amp;MATCH($J293,SorP!$B$1:$B$6230,0))))</f>
        <v>CN-GD</v>
      </c>
      <c r="U293" s="241"/>
      <c r="V293" s="275">
        <f>IF(C293="",NA(),MATCH($B293&amp;$C293,'Smelter Look-up'!$J:$J,0))</f>
        <v>511</v>
      </c>
      <c r="W293" s="276"/>
      <c r="X293" s="276">
        <f t="shared" si="40"/>
        <v>0</v>
      </c>
      <c r="Y293" s="276"/>
      <c r="Z293" s="276"/>
      <c r="AB293" s="278" t="str">
        <f t="shared" si="41"/>
        <v>TungstenGEM Co., Ltd.</v>
      </c>
    </row>
    <row r="294" spans="1:28" s="277" customFormat="1" ht="63">
      <c r="A294" s="216" t="s">
        <v>14246</v>
      </c>
      <c r="B294" s="217" t="s">
        <v>1156</v>
      </c>
      <c r="C294" s="221" t="s">
        <v>14230</v>
      </c>
      <c r="D294" s="283" t="s">
        <v>14230</v>
      </c>
      <c r="E294" s="217" t="s">
        <v>906</v>
      </c>
      <c r="F294" s="217" t="str">
        <f ca="1">IF(ISERROR($V294),"",OFFSET('Smelter Look-up'!$E$4,$V294-4,0))</f>
        <v>CID003416</v>
      </c>
      <c r="G294" s="217" t="str">
        <f ca="1">IF(C294=$X$4,"Enter smelter details",IF(ISERROR($V294),"",OFFSET('Smelter Look-up'!$F$4,$V294-4,0)))</f>
        <v>RMI</v>
      </c>
      <c r="H294" s="218" t="s">
        <v>16254</v>
      </c>
      <c r="I294" s="219" t="s">
        <v>14256</v>
      </c>
      <c r="J294" s="219" t="s">
        <v>14257</v>
      </c>
      <c r="K294" s="273"/>
      <c r="L294" s="273"/>
      <c r="M294" s="273"/>
      <c r="N294" s="273"/>
      <c r="O294" s="273" t="s">
        <v>15509</v>
      </c>
      <c r="P294" s="220"/>
      <c r="Q294" s="274"/>
      <c r="R294" s="217" t="str">
        <f ca="1">IF(ISERROR($V294),"",OFFSET('Smelter Look-up'!$C$4,$V294-4,0)&amp;"")</f>
        <v>NPP Tyazhmetprom LLC</v>
      </c>
      <c r="S294" s="225" t="str">
        <f t="shared" ref="S294:S324" ca="1" si="42">IF(B294="","",IF(ISERROR(MATCH($E294,CL,0)),"Unknown",INDIRECT("'C'!$A$"&amp;MATCH($E294,CL,0)+1)))</f>
        <v>RU</v>
      </c>
      <c r="T294" s="225" t="str">
        <f ca="1">IF(B294="","",IF(ISERROR(MATCH($J294,SorP!$B$1:$B$6230,0)),"",INDIRECT("'SorP'!$A$"&amp;MATCH($J294,SorP!$B$1:$B$6230,0))))</f>
        <v>RU-CHE</v>
      </c>
      <c r="U294" s="241"/>
      <c r="V294" s="275">
        <f>IF(C294="",NA(),MATCH($B294&amp;$C294,'Smelter Look-up'!$J:$J,0))</f>
        <v>545</v>
      </c>
      <c r="W294" s="276"/>
      <c r="X294" s="276">
        <f t="shared" ref="X294:X324" si="43">IF(AND(C294="Smelter not listed",OR(LEN(D294)=0,LEN(E294)=0)),1,0)</f>
        <v>0</v>
      </c>
      <c r="Y294" s="276"/>
      <c r="Z294" s="276"/>
      <c r="AB294" s="278" t="str">
        <f t="shared" ref="AB294:AB324" si="44">B294&amp;C294</f>
        <v>TungstenNPP Tyazhmetprom LLC</v>
      </c>
    </row>
    <row r="295" spans="1:28" s="277" customFormat="1" ht="75.599999999999994">
      <c r="A295" s="216" t="s">
        <v>14172</v>
      </c>
      <c r="B295" s="217" t="s">
        <v>1156</v>
      </c>
      <c r="C295" s="221" t="s">
        <v>14171</v>
      </c>
      <c r="D295" s="283" t="s">
        <v>14171</v>
      </c>
      <c r="E295" s="217" t="s">
        <v>906</v>
      </c>
      <c r="F295" s="217" t="str">
        <f ca="1">IF(ISERROR($V295),"",OFFSET('Smelter Look-up'!$E$4,$V295-4,0))</f>
        <v>CID003408</v>
      </c>
      <c r="G295" s="217" t="str">
        <f ca="1">IF(C295=$X$4,"Enter smelter details",IF(ISERROR($V295),"",OFFSET('Smelter Look-up'!$F$4,$V295-4,0)))</f>
        <v>RMI</v>
      </c>
      <c r="H295" s="218" t="s">
        <v>16255</v>
      </c>
      <c r="I295" s="219" t="s">
        <v>14188</v>
      </c>
      <c r="J295" s="219" t="s">
        <v>10268</v>
      </c>
      <c r="K295" s="273"/>
      <c r="L295" s="273"/>
      <c r="M295" s="273"/>
      <c r="N295" s="273"/>
      <c r="O295" s="273" t="s">
        <v>15507</v>
      </c>
      <c r="P295" s="220"/>
      <c r="Q295" s="274"/>
      <c r="R295" s="217" t="str">
        <f ca="1">IF(ISERROR($V295),"",OFFSET('Smelter Look-up'!$C$4,$V295-4,0)&amp;"")</f>
        <v>JSC "Kirovgrad Hard Alloys Plant"</v>
      </c>
      <c r="S295" s="225" t="str">
        <f t="shared" ca="1" si="42"/>
        <v>RU</v>
      </c>
      <c r="T295" s="225" t="str">
        <f ca="1">IF(B295="","",IF(ISERROR(MATCH($J295,SorP!$B$1:$B$6230,0)),"",INDIRECT("'SorP'!$A$"&amp;MATCH($J295,SorP!$B$1:$B$6230,0))))</f>
        <v>RU-SVE</v>
      </c>
      <c r="U295" s="241"/>
      <c r="V295" s="275">
        <f>IF(C295="",NA(),MATCH($B295&amp;$C295,'Smelter Look-up'!$J:$J,0))</f>
        <v>536</v>
      </c>
      <c r="W295" s="276"/>
      <c r="X295" s="276">
        <f t="shared" si="43"/>
        <v>0</v>
      </c>
      <c r="Y295" s="276"/>
      <c r="Z295" s="276"/>
      <c r="AB295" s="278" t="str">
        <f t="shared" si="44"/>
        <v>TungstenJSC "Kirovgrad Hard Alloys Plant"</v>
      </c>
    </row>
    <row r="296" spans="1:28" s="277" customFormat="1" ht="88.2">
      <c r="A296" s="216" t="s">
        <v>14176</v>
      </c>
      <c r="B296" s="217" t="s">
        <v>1156</v>
      </c>
      <c r="C296" s="221" t="s">
        <v>14175</v>
      </c>
      <c r="D296" s="283" t="s">
        <v>14175</v>
      </c>
      <c r="E296" s="217" t="s">
        <v>2575</v>
      </c>
      <c r="F296" s="217" t="str">
        <f ca="1">IF(ISERROR($V296),"",OFFSET('Smelter Look-up'!$E$4,$V296-4,0))</f>
        <v>CID003407</v>
      </c>
      <c r="G296" s="217" t="str">
        <f ca="1">IF(C296=$X$4,"Enter smelter details",IF(ISERROR($V296),"",OFFSET('Smelter Look-up'!$F$4,$V296-4,0)))</f>
        <v>RMI</v>
      </c>
      <c r="H296" s="218" t="s">
        <v>16256</v>
      </c>
      <c r="I296" s="219" t="s">
        <v>14190</v>
      </c>
      <c r="J296" s="219" t="s">
        <v>11809</v>
      </c>
      <c r="K296" s="273"/>
      <c r="L296" s="273"/>
      <c r="M296" s="273"/>
      <c r="N296" s="273" t="s">
        <v>15511</v>
      </c>
      <c r="O296" s="273" t="s">
        <v>16257</v>
      </c>
      <c r="P296" s="220"/>
      <c r="Q296" s="274" t="s">
        <v>15513</v>
      </c>
      <c r="R296" s="217" t="str">
        <f ca="1">IF(ISERROR($V296),"",OFFSET('Smelter Look-up'!$C$4,$V296-4,0)&amp;"")</f>
        <v>Lianyou Metals Co., Ltd.</v>
      </c>
      <c r="S296" s="225" t="str">
        <f t="shared" ca="1" si="42"/>
        <v>TW</v>
      </c>
      <c r="T296" s="225" t="str">
        <f ca="1">IF(B296="","",IF(ISERROR(MATCH($J296,SorP!$B$1:$B$6230,0)),"",INDIRECT("'SorP'!$A$"&amp;MATCH($J296,SorP!$B$1:$B$6230,0))))</f>
        <v>TW-PIF</v>
      </c>
      <c r="U296" s="241"/>
      <c r="V296" s="275">
        <f>IF(C296="",NA(),MATCH($B296&amp;$C296,'Smelter Look-up'!$J:$J,0))</f>
        <v>540</v>
      </c>
      <c r="W296" s="276"/>
      <c r="X296" s="276">
        <f t="shared" si="43"/>
        <v>0</v>
      </c>
      <c r="Y296" s="276"/>
      <c r="Z296" s="276"/>
      <c r="AB296" s="278" t="str">
        <f t="shared" si="44"/>
        <v>TungstenLianyou Metals Co., Ltd.</v>
      </c>
    </row>
    <row r="297" spans="1:28" s="277" customFormat="1" ht="75.599999999999994">
      <c r="A297" s="216" t="s">
        <v>14169</v>
      </c>
      <c r="B297" s="217" t="s">
        <v>1156</v>
      </c>
      <c r="C297" s="221" t="s">
        <v>14168</v>
      </c>
      <c r="D297" s="283" t="s">
        <v>14168</v>
      </c>
      <c r="E297" s="217" t="s">
        <v>1123</v>
      </c>
      <c r="F297" s="217" t="str">
        <f ca="1">IF(ISERROR($V297),"",OFFSET('Smelter Look-up'!$E$4,$V297-4,0))</f>
        <v>CID003401</v>
      </c>
      <c r="G297" s="217" t="str">
        <f ca="1">IF(C297=$X$4,"Enter smelter details",IF(ISERROR($V297),"",OFFSET('Smelter Look-up'!$F$4,$V297-4,0)))</f>
        <v>RMI</v>
      </c>
      <c r="H297" s="218" t="s">
        <v>16258</v>
      </c>
      <c r="I297" s="219" t="s">
        <v>14195</v>
      </c>
      <c r="J297" s="219" t="s">
        <v>13965</v>
      </c>
      <c r="K297" s="273"/>
      <c r="L297" s="273"/>
      <c r="M297" s="273"/>
      <c r="N297" s="273" t="s">
        <v>16259</v>
      </c>
      <c r="O297" s="273" t="s">
        <v>16260</v>
      </c>
      <c r="P297" s="220"/>
      <c r="Q297" s="274" t="s">
        <v>15513</v>
      </c>
      <c r="R297" s="217" t="str">
        <f ca="1">IF(ISERROR($V297),"",OFFSET('Smelter Look-up'!$C$4,$V297-4,0)&amp;"")</f>
        <v>Fujian Ganmin RareMetal Co., Ltd.</v>
      </c>
      <c r="S297" s="225" t="str">
        <f t="shared" ca="1" si="42"/>
        <v>CN</v>
      </c>
      <c r="T297" s="225" t="str">
        <f ca="1">IF(B297="","",IF(ISERROR(MATCH($J297,SorP!$B$1:$B$6230,0)),"",INDIRECT("'SorP'!$A$"&amp;MATCH($J297,SorP!$B$1:$B$6230,0))))</f>
        <v>CN-FJ</v>
      </c>
      <c r="U297" s="241"/>
      <c r="V297" s="275">
        <f>IF(C297="",NA(),MATCH($B297&amp;$C297,'Smelter Look-up'!$J:$J,0))</f>
        <v>505</v>
      </c>
      <c r="W297" s="276"/>
      <c r="X297" s="276">
        <f t="shared" si="43"/>
        <v>0</v>
      </c>
      <c r="Y297" s="276"/>
      <c r="Z297" s="276"/>
      <c r="AB297" s="278" t="str">
        <f t="shared" si="44"/>
        <v>TungstenFujian Ganmin RareMetal Co., Ltd.</v>
      </c>
    </row>
    <row r="298" spans="1:28" s="277" customFormat="1" ht="88.2">
      <c r="A298" s="216" t="s">
        <v>14174</v>
      </c>
      <c r="B298" s="217" t="s">
        <v>1156</v>
      </c>
      <c r="C298" s="221" t="s">
        <v>14173</v>
      </c>
      <c r="D298" s="283" t="s">
        <v>14173</v>
      </c>
      <c r="E298" s="217" t="s">
        <v>1134</v>
      </c>
      <c r="F298" s="217" t="str">
        <f ca="1">IF(ISERROR($V298),"",OFFSET('Smelter Look-up'!$E$4,$V298-4,0))</f>
        <v>CID003388</v>
      </c>
      <c r="G298" s="217" t="str">
        <f ca="1">IF(C298=$X$4,"Enter smelter details",IF(ISERROR($V298),"",OFFSET('Smelter Look-up'!$F$4,$V298-4,0)))</f>
        <v>RMI</v>
      </c>
      <c r="H298" s="218" t="s">
        <v>16261</v>
      </c>
      <c r="I298" s="219" t="s">
        <v>14189</v>
      </c>
      <c r="J298" s="219" t="s">
        <v>13202</v>
      </c>
      <c r="K298" s="273"/>
      <c r="L298" s="273"/>
      <c r="M298" s="273"/>
      <c r="N298" s="273" t="s">
        <v>15541</v>
      </c>
      <c r="O298" s="273" t="s">
        <v>16262</v>
      </c>
      <c r="P298" s="220"/>
      <c r="Q298" s="274" t="s">
        <v>15513</v>
      </c>
      <c r="R298" s="217" t="str">
        <f ca="1">IF(ISERROR($V298),"",OFFSET('Smelter Look-up'!$C$4,$V298-4,0)&amp;"")</f>
        <v>KGETS Co., Ltd.</v>
      </c>
      <c r="S298" s="225" t="str">
        <f t="shared" ca="1" si="42"/>
        <v>KR</v>
      </c>
      <c r="T298" s="225" t="str">
        <f ca="1">IF(B298="","",IF(ISERROR(MATCH($J298,SorP!$B$1:$B$6230,0)),"",INDIRECT("'SorP'!$A$"&amp;MATCH($J298,SorP!$B$1:$B$6230,0))))</f>
        <v>KR-41</v>
      </c>
      <c r="U298" s="241"/>
      <c r="V298" s="275">
        <f>IF(C298="",NA(),MATCH($B298&amp;$C298,'Smelter Look-up'!$J:$J,0))</f>
        <v>539</v>
      </c>
      <c r="W298" s="276"/>
      <c r="X298" s="276">
        <f t="shared" si="43"/>
        <v>0</v>
      </c>
      <c r="Y298" s="276"/>
      <c r="Z298" s="276"/>
      <c r="AB298" s="278" t="str">
        <f t="shared" si="44"/>
        <v>TungstenKGETS Co., Ltd.</v>
      </c>
    </row>
    <row r="299" spans="1:28" s="277" customFormat="1" ht="75.599999999999994">
      <c r="A299" s="216" t="s">
        <v>2388</v>
      </c>
      <c r="B299" s="217" t="s">
        <v>1156</v>
      </c>
      <c r="C299" s="221" t="s">
        <v>2688</v>
      </c>
      <c r="D299" s="283" t="s">
        <v>2688</v>
      </c>
      <c r="E299" s="217" t="s">
        <v>906</v>
      </c>
      <c r="F299" s="217" t="str">
        <f ca="1">IF(ISERROR($V299),"",OFFSET('Smelter Look-up'!$E$4,$V299-4,0))</f>
        <v>CID002845</v>
      </c>
      <c r="G299" s="217" t="str">
        <f ca="1">IF(C299=$X$4,"Enter smelter details",IF(ISERROR($V299),"",OFFSET('Smelter Look-up'!$F$4,$V299-4,0)))</f>
        <v>RMI</v>
      </c>
      <c r="H299" s="218" t="s">
        <v>16263</v>
      </c>
      <c r="I299" s="219" t="s">
        <v>2389</v>
      </c>
      <c r="J299" s="219" t="s">
        <v>10284</v>
      </c>
      <c r="K299" s="273"/>
      <c r="L299" s="273"/>
      <c r="M299" s="273"/>
      <c r="N299" s="273" t="s">
        <v>15538</v>
      </c>
      <c r="O299" s="273" t="s">
        <v>16264</v>
      </c>
      <c r="P299" s="220"/>
      <c r="Q299" s="274" t="s">
        <v>15513</v>
      </c>
      <c r="R299" s="217" t="str">
        <f ca="1">IF(ISERROR($V299),"",OFFSET('Smelter Look-up'!$C$4,$V299-4,0)&amp;"")</f>
        <v>Moliren Ltd.</v>
      </c>
      <c r="S299" s="225" t="str">
        <f t="shared" ca="1" si="42"/>
        <v>RU</v>
      </c>
      <c r="T299" s="225" t="str">
        <f ca="1">IF(B299="","",IF(ISERROR(MATCH($J299,SorP!$B$1:$B$6230,0)),"",INDIRECT("'SorP'!$A$"&amp;MATCH($J299,SorP!$B$1:$B$6230,0))))</f>
        <v>RU-MOS</v>
      </c>
      <c r="U299" s="241"/>
      <c r="V299" s="275">
        <f>IF(C299="",NA(),MATCH($B299&amp;$C299,'Smelter Look-up'!$J:$J,0))</f>
        <v>543</v>
      </c>
      <c r="W299" s="276"/>
      <c r="X299" s="276">
        <f t="shared" si="43"/>
        <v>0</v>
      </c>
      <c r="Y299" s="276"/>
      <c r="Z299" s="276"/>
      <c r="AB299" s="278" t="str">
        <f t="shared" si="44"/>
        <v>TungstenMoliren Ltd.</v>
      </c>
    </row>
    <row r="300" spans="1:28" s="277" customFormat="1" ht="113.4">
      <c r="A300" s="216" t="s">
        <v>2382</v>
      </c>
      <c r="B300" s="217" t="s">
        <v>1156</v>
      </c>
      <c r="C300" s="221" t="s">
        <v>2381</v>
      </c>
      <c r="D300" s="283" t="s">
        <v>2381</v>
      </c>
      <c r="E300" s="217" t="s">
        <v>1119</v>
      </c>
      <c r="F300" s="217" t="str">
        <f ca="1">IF(ISERROR($V300),"",OFFSET('Smelter Look-up'!$E$4,$V300-4,0))</f>
        <v>CID002833</v>
      </c>
      <c r="G300" s="217" t="str">
        <f ca="1">IF(C300=$X$4,"Enter smelter details",IF(ISERROR($V300),"",OFFSET('Smelter Look-up'!$F$4,$V300-4,0)))</f>
        <v>RMI</v>
      </c>
      <c r="H300" s="218" t="s">
        <v>16265</v>
      </c>
      <c r="I300" s="219" t="s">
        <v>2383</v>
      </c>
      <c r="J300" s="219" t="s">
        <v>1708</v>
      </c>
      <c r="K300" s="273"/>
      <c r="L300" s="273"/>
      <c r="M300" s="273"/>
      <c r="N300" s="273" t="s">
        <v>15538</v>
      </c>
      <c r="O300" s="273" t="s">
        <v>16266</v>
      </c>
      <c r="P300" s="220"/>
      <c r="Q300" s="274" t="s">
        <v>15513</v>
      </c>
      <c r="R300" s="217" t="str">
        <f ca="1">IF(ISERROR($V300),"",OFFSET('Smelter Look-up'!$C$4,$V300-4,0)&amp;"")</f>
        <v>ACL Metais Eireli</v>
      </c>
      <c r="S300" s="225" t="str">
        <f t="shared" ca="1" si="42"/>
        <v>BR</v>
      </c>
      <c r="T300" s="225" t="str">
        <f ca="1">IF(B300="","",IF(ISERROR(MATCH($J300,SorP!$B$1:$B$6230,0)),"",INDIRECT("'SorP'!$A$"&amp;MATCH($J300,SorP!$B$1:$B$6230,0))))</f>
        <v>BR-SP</v>
      </c>
      <c r="U300" s="241"/>
      <c r="V300" s="275">
        <f>IF(C300="",NA(),MATCH($B300&amp;$C300,'Smelter Look-up'!$J:$J,0))</f>
        <v>488</v>
      </c>
      <c r="W300" s="276"/>
      <c r="X300" s="276">
        <f t="shared" si="43"/>
        <v>0</v>
      </c>
      <c r="Y300" s="276"/>
      <c r="Z300" s="276"/>
      <c r="AB300" s="278" t="str">
        <f t="shared" si="44"/>
        <v>TungstenACL Metais Eireli</v>
      </c>
    </row>
    <row r="301" spans="1:28" s="277" customFormat="1" ht="126">
      <c r="A301" s="216" t="s">
        <v>2398</v>
      </c>
      <c r="B301" s="217" t="s">
        <v>1156</v>
      </c>
      <c r="C301" s="221" t="s">
        <v>2397</v>
      </c>
      <c r="D301" s="283" t="s">
        <v>2397</v>
      </c>
      <c r="E301" s="217" t="s">
        <v>1123</v>
      </c>
      <c r="F301" s="217" t="str">
        <f ca="1">IF(ISERROR($V301),"",OFFSET('Smelter Look-up'!$E$4,$V301-4,0))</f>
        <v>CID002830</v>
      </c>
      <c r="G301" s="217" t="str">
        <f ca="1">IF(C301=$X$4,"Enter smelter details",IF(ISERROR($V301),"",OFFSET('Smelter Look-up'!$F$4,$V301-4,0)))</f>
        <v>RMI</v>
      </c>
      <c r="H301" s="218" t="s">
        <v>16065</v>
      </c>
      <c r="I301" s="219" t="s">
        <v>1812</v>
      </c>
      <c r="J301" s="219" t="s">
        <v>13966</v>
      </c>
      <c r="K301" s="273"/>
      <c r="L301" s="273"/>
      <c r="M301" s="273"/>
      <c r="N301" s="273" t="s">
        <v>15538</v>
      </c>
      <c r="O301" s="273" t="s">
        <v>16267</v>
      </c>
      <c r="P301" s="220"/>
      <c r="Q301" s="274" t="s">
        <v>15513</v>
      </c>
      <c r="R301" s="217" t="str">
        <f ca="1">IF(ISERROR($V301),"",OFFSET('Smelter Look-up'!$C$4,$V301-4,0)&amp;"")</f>
        <v>Xinfeng Huarui Tungsten &amp; Molybdenum New Material Co., Ltd.</v>
      </c>
      <c r="S301" s="225" t="str">
        <f t="shared" ca="1" si="42"/>
        <v>CN</v>
      </c>
      <c r="T301" s="225" t="str">
        <f ca="1">IF(B301="","",IF(ISERROR(MATCH($J301,SorP!$B$1:$B$6230,0)),"",INDIRECT("'SorP'!$A$"&amp;MATCH($J301,SorP!$B$1:$B$6230,0))))</f>
        <v>CN-JX</v>
      </c>
      <c r="U301" s="241"/>
      <c r="V301" s="275">
        <f>IF(C301="",NA(),MATCH($B301&amp;$C301,'Smelter Look-up'!$J:$J,0))</f>
        <v>559</v>
      </c>
      <c r="W301" s="276"/>
      <c r="X301" s="276">
        <f t="shared" si="43"/>
        <v>0</v>
      </c>
      <c r="Y301" s="276"/>
      <c r="Z301" s="276"/>
      <c r="AB301" s="278" t="str">
        <f t="shared" si="44"/>
        <v>TungstenXinfeng Huarui Tungsten &amp; Molybdenum New Material Co., Ltd.</v>
      </c>
    </row>
    <row r="302" spans="1:28" s="277" customFormat="1" ht="100.8">
      <c r="A302" s="216" t="s">
        <v>2390</v>
      </c>
      <c r="B302" s="217" t="s">
        <v>1156</v>
      </c>
      <c r="C302" s="221" t="s">
        <v>2473</v>
      </c>
      <c r="D302" s="283" t="s">
        <v>2473</v>
      </c>
      <c r="E302" s="217" t="s">
        <v>904</v>
      </c>
      <c r="F302" s="217" t="str">
        <f ca="1">IF(ISERROR($V302),"",OFFSET('Smelter Look-up'!$E$4,$V302-4,0))</f>
        <v>CID002827</v>
      </c>
      <c r="G302" s="217" t="str">
        <f ca="1">IF(C302=$X$4,"Enter smelter details",IF(ISERROR($V302),"",OFFSET('Smelter Look-up'!$F$4,$V302-4,0)))</f>
        <v>RMI</v>
      </c>
      <c r="H302" s="218" t="s">
        <v>16268</v>
      </c>
      <c r="I302" s="219" t="s">
        <v>2391</v>
      </c>
      <c r="J302" s="219" t="s">
        <v>2392</v>
      </c>
      <c r="K302" s="273"/>
      <c r="L302" s="273"/>
      <c r="M302" s="273"/>
      <c r="N302" s="273" t="s">
        <v>15541</v>
      </c>
      <c r="O302" s="273" t="s">
        <v>16269</v>
      </c>
      <c r="P302" s="220"/>
      <c r="Q302" s="274" t="s">
        <v>15513</v>
      </c>
      <c r="R302" s="217" t="str">
        <f ca="1">IF(ISERROR($V302),"",OFFSET('Smelter Look-up'!$C$4,$V302-4,0)&amp;"")</f>
        <v>Philippine Chuangxin Industrial Co., Inc.</v>
      </c>
      <c r="S302" s="225" t="str">
        <f t="shared" ca="1" si="42"/>
        <v>PH</v>
      </c>
      <c r="T302" s="225" t="str">
        <f ca="1">IF(B302="","",IF(ISERROR(MATCH($J302,SorP!$B$1:$B$6230,0)),"",INDIRECT("'SorP'!$A$"&amp;MATCH($J302,SorP!$B$1:$B$6230,0))))</f>
        <v>PH-BUL</v>
      </c>
      <c r="U302" s="241"/>
      <c r="V302" s="275">
        <f>IF(C302="",NA(),MATCH($B302&amp;$C302,'Smelter Look-up'!$J:$J,0))</f>
        <v>547</v>
      </c>
      <c r="W302" s="276"/>
      <c r="X302" s="276">
        <f t="shared" si="43"/>
        <v>0</v>
      </c>
      <c r="Y302" s="276"/>
      <c r="Z302" s="276"/>
      <c r="AB302" s="278" t="str">
        <f t="shared" si="44"/>
        <v>TungstenPhilippine Chuangxin Industrial Co., Inc.</v>
      </c>
    </row>
    <row r="303" spans="1:28" s="277" customFormat="1" ht="151.19999999999999">
      <c r="A303" s="216" t="s">
        <v>2592</v>
      </c>
      <c r="B303" s="217" t="s">
        <v>1156</v>
      </c>
      <c r="C303" s="221" t="s">
        <v>2591</v>
      </c>
      <c r="D303" s="283" t="s">
        <v>2591</v>
      </c>
      <c r="E303" s="217" t="s">
        <v>906</v>
      </c>
      <c r="F303" s="217" t="str">
        <f ca="1">IF(ISERROR($V303),"",OFFSET('Smelter Look-up'!$E$4,$V303-4,0))</f>
        <v>CID002724</v>
      </c>
      <c r="G303" s="217" t="str">
        <f ca="1">IF(C303=$X$4,"Enter smelter details",IF(ISERROR($V303),"",OFFSET('Smelter Look-up'!$F$4,$V303-4,0)))</f>
        <v>RMI</v>
      </c>
      <c r="H303" s="218" t="s">
        <v>16270</v>
      </c>
      <c r="I303" s="219" t="s">
        <v>2689</v>
      </c>
      <c r="J303" s="219" t="s">
        <v>10271</v>
      </c>
      <c r="K303" s="273"/>
      <c r="L303" s="273"/>
      <c r="M303" s="273"/>
      <c r="N303" s="273" t="s">
        <v>15573</v>
      </c>
      <c r="O303" s="273" t="s">
        <v>16271</v>
      </c>
      <c r="P303" s="220"/>
      <c r="Q303" s="274" t="s">
        <v>15513</v>
      </c>
      <c r="R303" s="217" t="str">
        <f ca="1">IF(ISERROR($V303),"",OFFSET('Smelter Look-up'!$C$4,$V303-4,0)&amp;"")</f>
        <v>Unecha Refractory metals plant</v>
      </c>
      <c r="S303" s="225" t="str">
        <f t="shared" ca="1" si="42"/>
        <v>RU</v>
      </c>
      <c r="T303" s="225" t="str">
        <f ca="1">IF(B303="","",IF(ISERROR(MATCH($J303,SorP!$B$1:$B$6230,0)),"",INDIRECT("'SorP'!$A$"&amp;MATCH($J303,SorP!$B$1:$B$6230,0))))</f>
        <v>RU-BRY</v>
      </c>
      <c r="U303" s="241"/>
      <c r="V303" s="275">
        <f>IF(C303="",NA(),MATCH($B303&amp;$C303,'Smelter Look-up'!$J:$J,0))</f>
        <v>550</v>
      </c>
      <c r="W303" s="276"/>
      <c r="X303" s="276">
        <f t="shared" si="43"/>
        <v>0</v>
      </c>
      <c r="Y303" s="276"/>
      <c r="Z303" s="276"/>
      <c r="AB303" s="278" t="str">
        <f t="shared" si="44"/>
        <v>TungstenUnecha Refractory metals plant</v>
      </c>
    </row>
    <row r="304" spans="1:28" s="277" customFormat="1" ht="277.2">
      <c r="A304" s="216" t="s">
        <v>1892</v>
      </c>
      <c r="B304" s="217" t="s">
        <v>1156</v>
      </c>
      <c r="C304" s="221" t="s">
        <v>1891</v>
      </c>
      <c r="D304" s="283" t="s">
        <v>1891</v>
      </c>
      <c r="E304" s="217" t="s">
        <v>906</v>
      </c>
      <c r="F304" s="217" t="str">
        <f ca="1">IF(ISERROR($V304),"",OFFSET('Smelter Look-up'!$E$4,$V304-4,0))</f>
        <v>CID002649</v>
      </c>
      <c r="G304" s="217" t="str">
        <f ca="1">IF(C304=$X$4,"Enter smelter details",IF(ISERROR($V304),"",OFFSET('Smelter Look-up'!$F$4,$V304-4,0)))</f>
        <v>RMI</v>
      </c>
      <c r="H304" s="218" t="s">
        <v>16272</v>
      </c>
      <c r="I304" s="219" t="s">
        <v>1893</v>
      </c>
      <c r="J304" s="219" t="s">
        <v>10351</v>
      </c>
      <c r="K304" s="273"/>
      <c r="L304" s="273"/>
      <c r="M304" s="273"/>
      <c r="N304" s="273" t="s">
        <v>16273</v>
      </c>
      <c r="O304" s="273" t="s">
        <v>16274</v>
      </c>
      <c r="P304" s="220"/>
      <c r="Q304" s="274" t="s">
        <v>15513</v>
      </c>
      <c r="R304" s="217" t="str">
        <f ca="1">IF(ISERROR($V304),"",OFFSET('Smelter Look-up'!$C$4,$V304-4,0)&amp;"")</f>
        <v>Hydrometallurg, JSC</v>
      </c>
      <c r="S304" s="225" t="str">
        <f t="shared" ca="1" si="42"/>
        <v>RU</v>
      </c>
      <c r="T304" s="225" t="str">
        <f ca="1">IF(B304="","",IF(ISERROR(MATCH($J304,SorP!$B$1:$B$6230,0)),"",INDIRECT("'SorP'!$A$"&amp;MATCH($J304,SorP!$B$1:$B$6230,0))))</f>
        <v>RU-KB</v>
      </c>
      <c r="U304" s="241"/>
      <c r="V304" s="275">
        <f>IF(C304="",NA(),MATCH($B304&amp;$C304,'Smelter Look-up'!$J:$J,0))</f>
        <v>524</v>
      </c>
      <c r="W304" s="276"/>
      <c r="X304" s="276">
        <f t="shared" si="43"/>
        <v>0</v>
      </c>
      <c r="Y304" s="276"/>
      <c r="Z304" s="276"/>
      <c r="AB304" s="278" t="str">
        <f t="shared" si="44"/>
        <v>TungstenHydrometallurg, JSC</v>
      </c>
    </row>
    <row r="305" spans="1:28" s="277" customFormat="1" ht="151.19999999999999">
      <c r="A305" s="216" t="s">
        <v>2684</v>
      </c>
      <c r="B305" s="217" t="s">
        <v>1156</v>
      </c>
      <c r="C305" s="221" t="s">
        <v>13272</v>
      </c>
      <c r="D305" s="283" t="s">
        <v>13272</v>
      </c>
      <c r="E305" s="217" t="s">
        <v>1123</v>
      </c>
      <c r="F305" s="217" t="str">
        <f ca="1">IF(ISERROR($V305),"",OFFSET('Smelter Look-up'!$E$4,$V305-4,0))</f>
        <v>CID002645</v>
      </c>
      <c r="G305" s="217" t="str">
        <f ca="1">IF(C305=$X$4,"Enter smelter details",IF(ISERROR($V305),"",OFFSET('Smelter Look-up'!$F$4,$V305-4,0)))</f>
        <v>RMI</v>
      </c>
      <c r="H305" s="218" t="s">
        <v>16065</v>
      </c>
      <c r="I305" s="219" t="s">
        <v>1812</v>
      </c>
      <c r="J305" s="219" t="s">
        <v>13966</v>
      </c>
      <c r="K305" s="273"/>
      <c r="L305" s="273"/>
      <c r="M305" s="273"/>
      <c r="N305" s="273" t="s">
        <v>16275</v>
      </c>
      <c r="O305" s="273" t="s">
        <v>16276</v>
      </c>
      <c r="P305" s="220"/>
      <c r="Q305" s="274" t="s">
        <v>15513</v>
      </c>
      <c r="R305" s="217" t="str">
        <f ca="1">IF(ISERROR($V305),"",OFFSET('Smelter Look-up'!$C$4,$V305-4,0)&amp;"")</f>
        <v>Ganzhou Haichuang Tungsten Co., Ltd.</v>
      </c>
      <c r="S305" s="225" t="str">
        <f t="shared" ca="1" si="42"/>
        <v>CN</v>
      </c>
      <c r="T305" s="225" t="str">
        <f ca="1">IF(B305="","",IF(ISERROR(MATCH($J305,SorP!$B$1:$B$6230,0)),"",INDIRECT("'SorP'!$A$"&amp;MATCH($J305,SorP!$B$1:$B$6230,0))))</f>
        <v>CN-JX</v>
      </c>
      <c r="U305" s="241"/>
      <c r="V305" s="275">
        <f>IF(C305="",NA(),MATCH($B305&amp;$C305,'Smelter Look-up'!$J:$J,0))</f>
        <v>507</v>
      </c>
      <c r="W305" s="276"/>
      <c r="X305" s="276">
        <f t="shared" si="43"/>
        <v>0</v>
      </c>
      <c r="Y305" s="276"/>
      <c r="Z305" s="276"/>
      <c r="AB305" s="278" t="str">
        <f t="shared" si="44"/>
        <v>TungstenGanzhou Haichuang Tungsten Co., Ltd.</v>
      </c>
    </row>
    <row r="306" spans="1:28" s="277" customFormat="1" ht="63">
      <c r="A306" s="216" t="s">
        <v>14166</v>
      </c>
      <c r="B306" s="217" t="s">
        <v>1156</v>
      </c>
      <c r="C306" s="221" t="s">
        <v>14164</v>
      </c>
      <c r="D306" s="283" t="s">
        <v>14164</v>
      </c>
      <c r="E306" s="217" t="s">
        <v>1123</v>
      </c>
      <c r="F306" s="217" t="str">
        <f ca="1">IF(ISERROR($V306),"",OFFSET('Smelter Look-up'!$E$4,$V306-4,0))</f>
        <v>CID002641</v>
      </c>
      <c r="G306" s="217" t="str">
        <f ca="1">IF(C306=$X$4,"Enter smelter details",IF(ISERROR($V306),"",OFFSET('Smelter Look-up'!$F$4,$V306-4,0)))</f>
        <v>RMI</v>
      </c>
      <c r="H306" s="218" t="s">
        <v>16277</v>
      </c>
      <c r="I306" s="219" t="s">
        <v>1645</v>
      </c>
      <c r="J306" s="219" t="s">
        <v>13970</v>
      </c>
      <c r="K306" s="273"/>
      <c r="L306" s="273"/>
      <c r="M306" s="273"/>
      <c r="N306" s="273"/>
      <c r="O306" s="273" t="s">
        <v>15507</v>
      </c>
      <c r="P306" s="220"/>
      <c r="Q306" s="274" t="s">
        <v>15513</v>
      </c>
      <c r="R306" s="217" t="str">
        <f ca="1">IF(ISERROR($V306),"",OFFSET('Smelter Look-up'!$C$4,$V306-4,0)&amp;"")</f>
        <v>China Molybdenum Co., Ltd.</v>
      </c>
      <c r="S306" s="225" t="str">
        <f t="shared" ca="1" si="42"/>
        <v>CN</v>
      </c>
      <c r="T306" s="225" t="str">
        <f ca="1">IF(B306="","",IF(ISERROR(MATCH($J306,SorP!$B$1:$B$6230,0)),"",INDIRECT("'SorP'!$A$"&amp;MATCH($J306,SorP!$B$1:$B$6230,0))))</f>
        <v>CN-HN</v>
      </c>
      <c r="U306" s="241"/>
      <c r="V306" s="275">
        <f>IF(C306="",NA(),MATCH($B306&amp;$C306,'Smelter Look-up'!$J:$J,0))</f>
        <v>498</v>
      </c>
      <c r="W306" s="276"/>
      <c r="X306" s="276">
        <f t="shared" si="43"/>
        <v>0</v>
      </c>
      <c r="Y306" s="276"/>
      <c r="Z306" s="276"/>
      <c r="AB306" s="278" t="str">
        <f t="shared" si="44"/>
        <v>TungstenChina Molybdenum Co., Ltd.</v>
      </c>
    </row>
    <row r="307" spans="1:28" s="277" customFormat="1" ht="277.2">
      <c r="A307" s="216" t="s">
        <v>1889</v>
      </c>
      <c r="B307" s="217" t="s">
        <v>1156</v>
      </c>
      <c r="C307" s="221" t="s">
        <v>1888</v>
      </c>
      <c r="D307" s="283" t="s">
        <v>1888</v>
      </c>
      <c r="E307" s="217" t="s">
        <v>2576</v>
      </c>
      <c r="F307" s="217" t="str">
        <f ca="1">IF(ISERROR($V307),"",OFFSET('Smelter Look-up'!$E$4,$V307-4,0))</f>
        <v>CID002589</v>
      </c>
      <c r="G307" s="217" t="str">
        <f ca="1">IF(C307=$X$4,"Enter smelter details",IF(ISERROR($V307),"",OFFSET('Smelter Look-up'!$F$4,$V307-4,0)))</f>
        <v>RMI</v>
      </c>
      <c r="H307" s="218" t="s">
        <v>16278</v>
      </c>
      <c r="I307" s="219" t="s">
        <v>1890</v>
      </c>
      <c r="J307" s="219" t="s">
        <v>1647</v>
      </c>
      <c r="K307" s="273"/>
      <c r="L307" s="273"/>
      <c r="M307" s="273"/>
      <c r="N307" s="273" t="s">
        <v>16279</v>
      </c>
      <c r="O307" s="273" t="s">
        <v>16280</v>
      </c>
      <c r="P307" s="220"/>
      <c r="Q307" s="274" t="s">
        <v>15513</v>
      </c>
      <c r="R307" s="217" t="str">
        <f ca="1">IF(ISERROR($V307),"",OFFSET('Smelter Look-up'!$C$4,$V307-4,0)&amp;"")</f>
        <v>Niagara Refining LLC</v>
      </c>
      <c r="S307" s="225" t="str">
        <f t="shared" ca="1" si="42"/>
        <v>US</v>
      </c>
      <c r="T307" s="225" t="str">
        <f ca="1">IF(B307="","",IF(ISERROR(MATCH($J307,SorP!$B$1:$B$6230,0)),"",INDIRECT("'SorP'!$A$"&amp;MATCH($J307,SorP!$B$1:$B$6230,0))))</f>
        <v>US-NY</v>
      </c>
      <c r="U307" s="241"/>
      <c r="V307" s="275">
        <f>IF(C307="",NA(),MATCH($B307&amp;$C307,'Smelter Look-up'!$J:$J,0))</f>
        <v>544</v>
      </c>
      <c r="W307" s="276"/>
      <c r="X307" s="276">
        <f t="shared" si="43"/>
        <v>0</v>
      </c>
      <c r="Y307" s="276"/>
      <c r="Z307" s="276"/>
      <c r="AB307" s="278" t="str">
        <f t="shared" si="44"/>
        <v>TungstenNiagara Refining LLC</v>
      </c>
    </row>
    <row r="308" spans="1:28" s="277" customFormat="1" ht="100.8">
      <c r="A308" s="216" t="s">
        <v>1454</v>
      </c>
      <c r="B308" s="217" t="s">
        <v>1156</v>
      </c>
      <c r="C308" s="221" t="s">
        <v>1453</v>
      </c>
      <c r="D308" s="283" t="s">
        <v>1453</v>
      </c>
      <c r="E308" s="217" t="s">
        <v>1123</v>
      </c>
      <c r="F308" s="217" t="str">
        <f ca="1">IF(ISERROR($V308),"",OFFSET('Smelter Look-up'!$E$4,$V308-4,0))</f>
        <v>CID002551</v>
      </c>
      <c r="G308" s="217" t="str">
        <f ca="1">IF(C308=$X$4,"Enter smelter details",IF(ISERROR($V308),"",OFFSET('Smelter Look-up'!$F$4,$V308-4,0)))</f>
        <v>RMI</v>
      </c>
      <c r="H308" s="218" t="s">
        <v>16065</v>
      </c>
      <c r="I308" s="219" t="s">
        <v>1812</v>
      </c>
      <c r="J308" s="219" t="s">
        <v>13966</v>
      </c>
      <c r="K308" s="273"/>
      <c r="L308" s="273"/>
      <c r="M308" s="273"/>
      <c r="N308" s="273" t="s">
        <v>16281</v>
      </c>
      <c r="O308" s="273" t="s">
        <v>16282</v>
      </c>
      <c r="P308" s="220"/>
      <c r="Q308" s="274" t="s">
        <v>15513</v>
      </c>
      <c r="R308" s="217" t="str">
        <f ca="1">IF(ISERROR($V308),"",OFFSET('Smelter Look-up'!$C$4,$V308-4,0)&amp;"")</f>
        <v>Jiangwu H.C. Starck Tungsten Products Co., Ltd.</v>
      </c>
      <c r="S308" s="225" t="str">
        <f t="shared" ca="1" si="42"/>
        <v>CN</v>
      </c>
      <c r="T308" s="225" t="str">
        <f ca="1">IF(B308="","",IF(ISERROR(MATCH($J308,SorP!$B$1:$B$6230,0)),"",INDIRECT("'SorP'!$A$"&amp;MATCH($J308,SorP!$B$1:$B$6230,0))))</f>
        <v>CN-JX</v>
      </c>
      <c r="U308" s="241"/>
      <c r="V308" s="275">
        <f>IF(C308="",NA(),MATCH($B308&amp;$C308,'Smelter Look-up'!$J:$J,0))</f>
        <v>526</v>
      </c>
      <c r="W308" s="276"/>
      <c r="X308" s="276">
        <f t="shared" si="43"/>
        <v>0</v>
      </c>
      <c r="Y308" s="276"/>
      <c r="Z308" s="276"/>
      <c r="AB308" s="278" t="str">
        <f t="shared" si="44"/>
        <v>TungstenJiangwu H.C. Starck Tungsten Products Co., Ltd.</v>
      </c>
    </row>
    <row r="309" spans="1:28" s="277" customFormat="1" ht="315">
      <c r="A309" s="216" t="s">
        <v>1455</v>
      </c>
      <c r="B309" s="217" t="s">
        <v>1156</v>
      </c>
      <c r="C309" s="221" t="s">
        <v>14177</v>
      </c>
      <c r="D309" s="283" t="s">
        <v>14177</v>
      </c>
      <c r="E309" s="217" t="s">
        <v>915</v>
      </c>
      <c r="F309" s="217" t="str">
        <f ca="1">IF(ISERROR($V309),"",OFFSET('Smelter Look-up'!$E$4,$V309-4,0))</f>
        <v>CID002543</v>
      </c>
      <c r="G309" s="217" t="str">
        <f ca="1">IF(C309=$X$4,"Enter smelter details",IF(ISERROR($V309),"",OFFSET('Smelter Look-up'!$F$4,$V309-4,0)))</f>
        <v>RMI</v>
      </c>
      <c r="H309" s="218" t="s">
        <v>16283</v>
      </c>
      <c r="I309" s="219" t="s">
        <v>1885</v>
      </c>
      <c r="J309" s="219" t="s">
        <v>12459</v>
      </c>
      <c r="K309" s="273"/>
      <c r="L309" s="273"/>
      <c r="M309" s="273"/>
      <c r="N309" s="273" t="s">
        <v>16284</v>
      </c>
      <c r="O309" s="273" t="s">
        <v>16285</v>
      </c>
      <c r="P309" s="220"/>
      <c r="Q309" s="274" t="s">
        <v>15513</v>
      </c>
      <c r="R309" s="217" t="str">
        <f ca="1">IF(ISERROR($V309),"",OFFSET('Smelter Look-up'!$C$4,$V309-4,0)&amp;"")</f>
        <v>Masan Tungsten Chemical LLC (MTC)</v>
      </c>
      <c r="S309" s="225" t="str">
        <f t="shared" ca="1" si="42"/>
        <v>VN</v>
      </c>
      <c r="T309" s="225" t="str">
        <f ca="1">IF(B309="","",IF(ISERROR(MATCH($J309,SorP!$B$1:$B$6230,0)),"",INDIRECT("'SorP'!$A$"&amp;MATCH($J309,SorP!$B$1:$B$6230,0))))</f>
        <v>VN-69</v>
      </c>
      <c r="U309" s="241"/>
      <c r="V309" s="275">
        <f>IF(C309="",NA(),MATCH($B309&amp;$C309,'Smelter Look-up'!$J:$J,0))</f>
        <v>542</v>
      </c>
      <c r="W309" s="276"/>
      <c r="X309" s="276">
        <f t="shared" si="43"/>
        <v>0</v>
      </c>
      <c r="Y309" s="276"/>
      <c r="Z309" s="276"/>
      <c r="AB309" s="278" t="str">
        <f t="shared" si="44"/>
        <v>TungstenMasan Tungsten Chemical LLC (MTC)</v>
      </c>
    </row>
    <row r="310" spans="1:28" s="277" customFormat="1" ht="264.60000000000002">
      <c r="A310" s="216" t="s">
        <v>1452</v>
      </c>
      <c r="B310" s="217" t="s">
        <v>1156</v>
      </c>
      <c r="C310" s="221" t="s">
        <v>2461</v>
      </c>
      <c r="D310" s="283" t="s">
        <v>2461</v>
      </c>
      <c r="E310" s="217" t="s">
        <v>1124</v>
      </c>
      <c r="F310" s="217" t="str">
        <f ca="1">IF(ISERROR($V310),"",OFFSET('Smelter Look-up'!$E$4,$V310-4,0))</f>
        <v>CID002542</v>
      </c>
      <c r="G310" s="217" t="str">
        <f ca="1">IF(C310=$X$4,"Enter smelter details",IF(ISERROR($V310),"",OFFSET('Smelter Look-up'!$F$4,$V310-4,0)))</f>
        <v>RMI</v>
      </c>
      <c r="H310" s="218" t="s">
        <v>15951</v>
      </c>
      <c r="I310" s="219" t="s">
        <v>1787</v>
      </c>
      <c r="J310" s="219" t="s">
        <v>1573</v>
      </c>
      <c r="K310" s="273"/>
      <c r="L310" s="273"/>
      <c r="M310" s="273"/>
      <c r="N310" s="273" t="s">
        <v>16286</v>
      </c>
      <c r="O310" s="273" t="s">
        <v>16287</v>
      </c>
      <c r="P310" s="220"/>
      <c r="Q310" s="274" t="s">
        <v>15513</v>
      </c>
      <c r="R310" s="217" t="str">
        <f ca="1">IF(ISERROR($V310),"",OFFSET('Smelter Look-up'!$C$4,$V310-4,0)&amp;"")</f>
        <v>H.C. Starck Smelting GmbH &amp; Co. KG</v>
      </c>
      <c r="S310" s="225" t="str">
        <f t="shared" ca="1" si="42"/>
        <v>DE</v>
      </c>
      <c r="T310" s="225" t="str">
        <f ca="1">IF(B310="","",IF(ISERROR(MATCH($J310,SorP!$B$1:$B$6230,0)),"",INDIRECT("'SorP'!$A$"&amp;MATCH($J310,SorP!$B$1:$B$6230,0))))</f>
        <v>DE-BW</v>
      </c>
      <c r="U310" s="241"/>
      <c r="V310" s="275">
        <f>IF(C310="",NA(),MATCH($B310&amp;$C310,'Smelter Look-up'!$J:$J,0))</f>
        <v>515</v>
      </c>
      <c r="W310" s="276"/>
      <c r="X310" s="276">
        <f t="shared" si="43"/>
        <v>0</v>
      </c>
      <c r="Y310" s="276"/>
      <c r="Z310" s="276"/>
      <c r="AB310" s="278" t="str">
        <f t="shared" si="44"/>
        <v>TungstenH.C. Starck Smelting GmbH &amp; Co. KG</v>
      </c>
    </row>
    <row r="311" spans="1:28" s="277" customFormat="1" ht="302.39999999999998">
      <c r="A311" s="216" t="s">
        <v>1451</v>
      </c>
      <c r="B311" s="217" t="s">
        <v>1156</v>
      </c>
      <c r="C311" s="221" t="s">
        <v>2685</v>
      </c>
      <c r="D311" s="283" t="s">
        <v>2685</v>
      </c>
      <c r="E311" s="217" t="s">
        <v>1124</v>
      </c>
      <c r="F311" s="217" t="str">
        <f ca="1">IF(ISERROR($V311),"",OFFSET('Smelter Look-up'!$E$4,$V311-4,0))</f>
        <v>CID002541</v>
      </c>
      <c r="G311" s="217" t="str">
        <f ca="1">IF(C311=$X$4,"Enter smelter details",IF(ISERROR($V311),"",OFFSET('Smelter Look-up'!$F$4,$V311-4,0)))</f>
        <v>RMI</v>
      </c>
      <c r="H311" s="218" t="s">
        <v>15963</v>
      </c>
      <c r="I311" s="219" t="s">
        <v>1786</v>
      </c>
      <c r="J311" s="219" t="s">
        <v>4399</v>
      </c>
      <c r="K311" s="273"/>
      <c r="L311" s="273"/>
      <c r="M311" s="273"/>
      <c r="N311" s="273" t="s">
        <v>16288</v>
      </c>
      <c r="O311" s="273" t="s">
        <v>16289</v>
      </c>
      <c r="P311" s="220"/>
      <c r="Q311" s="274" t="s">
        <v>15513</v>
      </c>
      <c r="R311" s="217" t="str">
        <f ca="1">IF(ISERROR($V311),"",OFFSET('Smelter Look-up'!$C$4,$V311-4,0)&amp;"")</f>
        <v>H.C. Starck Tungsten GmbH</v>
      </c>
      <c r="S311" s="225" t="str">
        <f t="shared" ca="1" si="42"/>
        <v>DE</v>
      </c>
      <c r="T311" s="225" t="str">
        <f ca="1">IF(B311="","",IF(ISERROR(MATCH($J311,SorP!$B$1:$B$6230,0)),"",INDIRECT("'SorP'!$A$"&amp;MATCH($J311,SorP!$B$1:$B$6230,0))))</f>
        <v>DE-NI</v>
      </c>
      <c r="U311" s="241"/>
      <c r="V311" s="275">
        <f>IF(C311="",NA(),MATCH($B311&amp;$C311,'Smelter Look-up'!$J:$J,0))</f>
        <v>516</v>
      </c>
      <c r="W311" s="276"/>
      <c r="X311" s="276">
        <f t="shared" si="43"/>
        <v>0</v>
      </c>
      <c r="Y311" s="276"/>
      <c r="Z311" s="276"/>
      <c r="AB311" s="278" t="str">
        <f t="shared" si="44"/>
        <v>TungstenH.C. Starck Tungsten GmbH</v>
      </c>
    </row>
    <row r="312" spans="1:28" s="277" customFormat="1" ht="264.60000000000002">
      <c r="A312" s="216" t="s">
        <v>1429</v>
      </c>
      <c r="B312" s="217" t="s">
        <v>1156</v>
      </c>
      <c r="C312" s="221" t="s">
        <v>1428</v>
      </c>
      <c r="D312" s="283" t="s">
        <v>1428</v>
      </c>
      <c r="E312" s="217" t="s">
        <v>1123</v>
      </c>
      <c r="F312" s="217" t="str">
        <f ca="1">IF(ISERROR($V312),"",OFFSET('Smelter Look-up'!$E$4,$V312-4,0))</f>
        <v>CID002513</v>
      </c>
      <c r="G312" s="217" t="str">
        <f ca="1">IF(C312=$X$4,"Enter smelter details",IF(ISERROR($V312),"",OFFSET('Smelter Look-up'!$F$4,$V312-4,0)))</f>
        <v>RMI</v>
      </c>
      <c r="H312" s="218" t="s">
        <v>15828</v>
      </c>
      <c r="I312" s="219" t="s">
        <v>1813</v>
      </c>
      <c r="J312" s="219" t="s">
        <v>13970</v>
      </c>
      <c r="K312" s="273"/>
      <c r="L312" s="273"/>
      <c r="M312" s="273"/>
      <c r="N312" s="273" t="s">
        <v>16290</v>
      </c>
      <c r="O312" s="273" t="s">
        <v>16291</v>
      </c>
      <c r="P312" s="220"/>
      <c r="Q312" s="274" t="s">
        <v>15513</v>
      </c>
      <c r="R312" s="217" t="str">
        <f ca="1">IF(ISERROR($V312),"",OFFSET('Smelter Look-up'!$C$4,$V312-4,0)&amp;"")</f>
        <v>Chenzhou Diamond Tungsten Products Co., Ltd.</v>
      </c>
      <c r="S312" s="225" t="str">
        <f t="shared" ca="1" si="42"/>
        <v>CN</v>
      </c>
      <c r="T312" s="225" t="str">
        <f ca="1">IF(B312="","",IF(ISERROR(MATCH($J312,SorP!$B$1:$B$6230,0)),"",INDIRECT("'SorP'!$A$"&amp;MATCH($J312,SorP!$B$1:$B$6230,0))))</f>
        <v>CN-HN</v>
      </c>
      <c r="U312" s="241"/>
      <c r="V312" s="275">
        <f>IF(C312="",NA(),MATCH($B312&amp;$C312,'Smelter Look-up'!$J:$J,0))</f>
        <v>497</v>
      </c>
      <c r="W312" s="276"/>
      <c r="X312" s="276">
        <f t="shared" si="43"/>
        <v>0</v>
      </c>
      <c r="Y312" s="276"/>
      <c r="Z312" s="276"/>
      <c r="AB312" s="278" t="str">
        <f t="shared" si="44"/>
        <v>TungstenChenzhou Diamond Tungsten Products Co., Ltd.</v>
      </c>
    </row>
    <row r="313" spans="1:28" s="277" customFormat="1" ht="277.2">
      <c r="A313" s="216" t="s">
        <v>14242</v>
      </c>
      <c r="B313" s="217" t="s">
        <v>1156</v>
      </c>
      <c r="C313" s="221" t="s">
        <v>14226</v>
      </c>
      <c r="D313" s="283" t="s">
        <v>14226</v>
      </c>
      <c r="E313" s="217" t="s">
        <v>915</v>
      </c>
      <c r="F313" s="217" t="str">
        <f ca="1">IF(ISERROR($V313),"",OFFSET('Smelter Look-up'!$E$4,$V313-4,0))</f>
        <v>CID002502</v>
      </c>
      <c r="G313" s="217" t="str">
        <f ca="1">IF(C313=$X$4,"Enter smelter details",IF(ISERROR($V313),"",OFFSET('Smelter Look-up'!$F$4,$V313-4,0)))</f>
        <v>RMI</v>
      </c>
      <c r="H313" s="218" t="s">
        <v>16292</v>
      </c>
      <c r="I313" s="219" t="s">
        <v>14254</v>
      </c>
      <c r="J313" s="219" t="s">
        <v>1884</v>
      </c>
      <c r="K313" s="273"/>
      <c r="L313" s="273"/>
      <c r="M313" s="273"/>
      <c r="N313" s="273" t="s">
        <v>16293</v>
      </c>
      <c r="O313" s="273" t="s">
        <v>16294</v>
      </c>
      <c r="P313" s="220"/>
      <c r="Q313" s="274" t="s">
        <v>15513</v>
      </c>
      <c r="R313" s="217" t="str">
        <f ca="1">IF(ISERROR($V313),"",OFFSET('Smelter Look-up'!$C$4,$V313-4,0)&amp;"")</f>
        <v>Asia Tungsten Products Vietnam Ltd.</v>
      </c>
      <c r="S313" s="225" t="str">
        <f t="shared" ca="1" si="42"/>
        <v>VN</v>
      </c>
      <c r="T313" s="225" t="str">
        <f ca="1">IF(B313="","",IF(ISERROR(MATCH($J313,SorP!$B$1:$B$6230,0)),"",INDIRECT("'SorP'!$A$"&amp;MATCH($J313,SorP!$B$1:$B$6230,0))))</f>
        <v>VN-HP</v>
      </c>
      <c r="U313" s="241"/>
      <c r="V313" s="275">
        <f>IF(C313="",NA(),MATCH($B313&amp;$C313,'Smelter Look-up'!$J:$J,0))</f>
        <v>493</v>
      </c>
      <c r="W313" s="276"/>
      <c r="X313" s="276">
        <f t="shared" si="43"/>
        <v>0</v>
      </c>
      <c r="Y313" s="276"/>
      <c r="Z313" s="276"/>
      <c r="AB313" s="278" t="str">
        <f t="shared" si="44"/>
        <v>TungstenAsia Tungsten Products Vietnam Ltd.</v>
      </c>
    </row>
    <row r="314" spans="1:28" s="277" customFormat="1" ht="252">
      <c r="A314" s="216" t="s">
        <v>403</v>
      </c>
      <c r="B314" s="217" t="s">
        <v>1156</v>
      </c>
      <c r="C314" s="221" t="s">
        <v>402</v>
      </c>
      <c r="D314" s="283" t="s">
        <v>402</v>
      </c>
      <c r="E314" s="217" t="s">
        <v>1123</v>
      </c>
      <c r="F314" s="217" t="str">
        <f ca="1">IF(ISERROR($V314),"",OFFSET('Smelter Look-up'!$E$4,$V314-4,0))</f>
        <v>CID002494</v>
      </c>
      <c r="G314" s="217" t="str">
        <f ca="1">IF(C314=$X$4,"Enter smelter details",IF(ISERROR($V314),"",OFFSET('Smelter Look-up'!$F$4,$V314-4,0)))</f>
        <v>RMI</v>
      </c>
      <c r="H314" s="218" t="s">
        <v>16065</v>
      </c>
      <c r="I314" s="219" t="s">
        <v>1812</v>
      </c>
      <c r="J314" s="219" t="s">
        <v>13966</v>
      </c>
      <c r="K314" s="273"/>
      <c r="L314" s="273"/>
      <c r="M314" s="273"/>
      <c r="N314" s="273" t="s">
        <v>16295</v>
      </c>
      <c r="O314" s="273" t="s">
        <v>16296</v>
      </c>
      <c r="P314" s="220"/>
      <c r="Q314" s="274" t="s">
        <v>15513</v>
      </c>
      <c r="R314" s="217" t="str">
        <f ca="1">IF(ISERROR($V314),"",OFFSET('Smelter Look-up'!$C$4,$V314-4,0)&amp;"")</f>
        <v>Ganzhou Seadragon W &amp; Mo Co., Ltd.</v>
      </c>
      <c r="S314" s="225" t="str">
        <f t="shared" ca="1" si="42"/>
        <v>CN</v>
      </c>
      <c r="T314" s="225" t="str">
        <f ca="1">IF(B314="","",IF(ISERROR(MATCH($J314,SorP!$B$1:$B$6230,0)),"",INDIRECT("'SorP'!$A$"&amp;MATCH($J314,SorP!$B$1:$B$6230,0))))</f>
        <v>CN-JX</v>
      </c>
      <c r="U314" s="241"/>
      <c r="V314" s="275">
        <f>IF(C314="",NA(),MATCH($B314&amp;$C314,'Smelter Look-up'!$J:$J,0))</f>
        <v>510</v>
      </c>
      <c r="W314" s="276"/>
      <c r="X314" s="276">
        <f t="shared" si="43"/>
        <v>0</v>
      </c>
      <c r="Y314" s="276"/>
      <c r="Z314" s="276"/>
      <c r="AB314" s="278" t="str">
        <f t="shared" si="44"/>
        <v>TungstenGanzhou Seadragon W &amp; Mo Co., Ltd.</v>
      </c>
    </row>
    <row r="315" spans="1:28" s="277" customFormat="1" ht="252">
      <c r="A315" s="216" t="s">
        <v>141</v>
      </c>
      <c r="B315" s="217" t="s">
        <v>1156</v>
      </c>
      <c r="C315" s="221" t="s">
        <v>160</v>
      </c>
      <c r="D315" s="283" t="s">
        <v>160</v>
      </c>
      <c r="E315" s="217" t="s">
        <v>1123</v>
      </c>
      <c r="F315" s="217" t="str">
        <f ca="1">IF(ISERROR($V315),"",OFFSET('Smelter Look-up'!$E$4,$V315-4,0))</f>
        <v>CID002321</v>
      </c>
      <c r="G315" s="217" t="str">
        <f ca="1">IF(C315=$X$4,"Enter smelter details",IF(ISERROR($V315),"",OFFSET('Smelter Look-up'!$F$4,$V315-4,0)))</f>
        <v>RMI</v>
      </c>
      <c r="H315" s="218" t="s">
        <v>16297</v>
      </c>
      <c r="I315" s="219" t="s">
        <v>1883</v>
      </c>
      <c r="J315" s="219" t="s">
        <v>13966</v>
      </c>
      <c r="K315" s="273"/>
      <c r="L315" s="273"/>
      <c r="M315" s="273"/>
      <c r="N315" s="273" t="s">
        <v>15538</v>
      </c>
      <c r="O315" s="273" t="s">
        <v>16298</v>
      </c>
      <c r="P315" s="220"/>
      <c r="Q315" s="274" t="s">
        <v>15513</v>
      </c>
      <c r="R315" s="217" t="str">
        <f ca="1">IF(ISERROR($V315),"",OFFSET('Smelter Look-up'!$C$4,$V315-4,0)&amp;"")</f>
        <v>Jiangxi Gan Bei Tungsten Co., Ltd.</v>
      </c>
      <c r="S315" s="225" t="str">
        <f t="shared" ca="1" si="42"/>
        <v>CN</v>
      </c>
      <c r="T315" s="225" t="str">
        <f ca="1">IF(B315="","",IF(ISERROR(MATCH($J315,SorP!$B$1:$B$6230,0)),"",INDIRECT("'SorP'!$A$"&amp;MATCH($J315,SorP!$B$1:$B$6230,0))))</f>
        <v>CN-JX</v>
      </c>
      <c r="U315" s="241"/>
      <c r="V315" s="275">
        <f>IF(C315="",NA(),MATCH($B315&amp;$C315,'Smelter Look-up'!$J:$J,0))</f>
        <v>528</v>
      </c>
      <c r="W315" s="276"/>
      <c r="X315" s="276">
        <f t="shared" si="43"/>
        <v>0</v>
      </c>
      <c r="Y315" s="276"/>
      <c r="Z315" s="276"/>
      <c r="AB315" s="278" t="str">
        <f t="shared" si="44"/>
        <v>TungstenJiangxi Gan Bei Tungsten Co., Ltd.</v>
      </c>
    </row>
    <row r="316" spans="1:28" s="277" customFormat="1" ht="352.8">
      <c r="A316" s="216" t="s">
        <v>148</v>
      </c>
      <c r="B316" s="217" t="s">
        <v>1156</v>
      </c>
      <c r="C316" s="221" t="s">
        <v>159</v>
      </c>
      <c r="D316" s="283" t="s">
        <v>159</v>
      </c>
      <c r="E316" s="217" t="s">
        <v>1123</v>
      </c>
      <c r="F316" s="217" t="str">
        <f ca="1">IF(ISERROR($V316),"",OFFSET('Smelter Look-up'!$E$4,$V316-4,0))</f>
        <v>CID002320</v>
      </c>
      <c r="G316" s="217" t="str">
        <f ca="1">IF(C316=$X$4,"Enter smelter details",IF(ISERROR($V316),"",OFFSET('Smelter Look-up'!$F$4,$V316-4,0)))</f>
        <v>RMI</v>
      </c>
      <c r="H316" s="218" t="s">
        <v>16299</v>
      </c>
      <c r="I316" s="219" t="s">
        <v>1876</v>
      </c>
      <c r="J316" s="219" t="s">
        <v>13965</v>
      </c>
      <c r="K316" s="273"/>
      <c r="L316" s="273"/>
      <c r="M316" s="273"/>
      <c r="N316" s="273" t="s">
        <v>16300</v>
      </c>
      <c r="O316" s="273" t="s">
        <v>16301</v>
      </c>
      <c r="P316" s="220"/>
      <c r="Q316" s="274" t="s">
        <v>15513</v>
      </c>
      <c r="R316" s="217" t="str">
        <f ca="1">IF(ISERROR($V316),"",OFFSET('Smelter Look-up'!$C$4,$V316-4,0)&amp;"")</f>
        <v>Xiamen Tungsten (H.C.) Co., Ltd.</v>
      </c>
      <c r="S316" s="225" t="str">
        <f t="shared" ca="1" si="42"/>
        <v>CN</v>
      </c>
      <c r="T316" s="225" t="str">
        <f ca="1">IF(B316="","",IF(ISERROR(MATCH($J316,SorP!$B$1:$B$6230,0)),"",INDIRECT("'SorP'!$A$"&amp;MATCH($J316,SorP!$B$1:$B$6230,0))))</f>
        <v>CN-FJ</v>
      </c>
      <c r="U316" s="241"/>
      <c r="V316" s="275">
        <f>IF(C316="",NA(),MATCH($B316&amp;$C316,'Smelter Look-up'!$J:$J,0))</f>
        <v>557</v>
      </c>
      <c r="W316" s="276"/>
      <c r="X316" s="276">
        <f t="shared" si="43"/>
        <v>0</v>
      </c>
      <c r="Y316" s="276"/>
      <c r="Z316" s="276"/>
      <c r="AB316" s="278" t="str">
        <f t="shared" si="44"/>
        <v>TungstenXiamen Tungsten (H.C.) Co., Ltd.</v>
      </c>
    </row>
    <row r="317" spans="1:28" s="277" customFormat="1" ht="252">
      <c r="A317" s="216" t="s">
        <v>147</v>
      </c>
      <c r="B317" s="217" t="s">
        <v>1156</v>
      </c>
      <c r="C317" s="221" t="s">
        <v>158</v>
      </c>
      <c r="D317" s="283" t="s">
        <v>158</v>
      </c>
      <c r="E317" s="217" t="s">
        <v>1123</v>
      </c>
      <c r="F317" s="217" t="str">
        <f ca="1">IF(ISERROR($V317),"",OFFSET('Smelter Look-up'!$E$4,$V317-4,0))</f>
        <v>CID002319</v>
      </c>
      <c r="G317" s="217" t="str">
        <f ca="1">IF(C317=$X$4,"Enter smelter details",IF(ISERROR($V317),"",OFFSET('Smelter Look-up'!$F$4,$V317-4,0)))</f>
        <v>RMI</v>
      </c>
      <c r="H317" s="218" t="s">
        <v>16302</v>
      </c>
      <c r="I317" s="219" t="s">
        <v>1881</v>
      </c>
      <c r="J317" s="219" t="s">
        <v>13975</v>
      </c>
      <c r="K317" s="273"/>
      <c r="L317" s="273"/>
      <c r="M317" s="273"/>
      <c r="N317" s="273" t="s">
        <v>15538</v>
      </c>
      <c r="O317" s="273" t="s">
        <v>16303</v>
      </c>
      <c r="P317" s="220"/>
      <c r="Q317" s="274" t="s">
        <v>15513</v>
      </c>
      <c r="R317" s="217" t="str">
        <f ca="1">IF(ISERROR($V317),"",OFFSET('Smelter Look-up'!$C$4,$V317-4,0)&amp;"")</f>
        <v>Malipo Haiyu Tungsten Co., Ltd.</v>
      </c>
      <c r="S317" s="225" t="str">
        <f t="shared" ca="1" si="42"/>
        <v>CN</v>
      </c>
      <c r="T317" s="225" t="str">
        <f ca="1">IF(B317="","",IF(ISERROR(MATCH($J317,SorP!$B$1:$B$6230,0)),"",INDIRECT("'SorP'!$A$"&amp;MATCH($J317,SorP!$B$1:$B$6230,0))))</f>
        <v>CN-YN</v>
      </c>
      <c r="U317" s="241"/>
      <c r="V317" s="275">
        <f>IF(C317="",NA(),MATCH($B317&amp;$C317,'Smelter Look-up'!$J:$J,0))</f>
        <v>541</v>
      </c>
      <c r="W317" s="276"/>
      <c r="X317" s="276">
        <f t="shared" si="43"/>
        <v>0</v>
      </c>
      <c r="Y317" s="276"/>
      <c r="Z317" s="276"/>
      <c r="AB317" s="278" t="str">
        <f t="shared" si="44"/>
        <v>TungstenMalipo Haiyu Tungsten Co., Ltd.</v>
      </c>
    </row>
    <row r="318" spans="1:28" s="277" customFormat="1" ht="126">
      <c r="A318" s="216" t="s">
        <v>146</v>
      </c>
      <c r="B318" s="217" t="s">
        <v>1156</v>
      </c>
      <c r="C318" s="221" t="s">
        <v>157</v>
      </c>
      <c r="D318" s="283" t="s">
        <v>157</v>
      </c>
      <c r="E318" s="217" t="s">
        <v>1123</v>
      </c>
      <c r="F318" s="217" t="str">
        <f ca="1">IF(ISERROR($V318),"",OFFSET('Smelter Look-up'!$E$4,$V318-4,0))</f>
        <v>CID002318</v>
      </c>
      <c r="G318" s="217" t="str">
        <f ca="1">IF(C318=$X$4,"Enter smelter details",IF(ISERROR($V318),"",OFFSET('Smelter Look-up'!$F$4,$V318-4,0)))</f>
        <v>RMI</v>
      </c>
      <c r="H318" s="218" t="s">
        <v>16304</v>
      </c>
      <c r="I318" s="219" t="s">
        <v>1880</v>
      </c>
      <c r="J318" s="219" t="s">
        <v>13966</v>
      </c>
      <c r="K318" s="273"/>
      <c r="L318" s="273"/>
      <c r="M318" s="273"/>
      <c r="N318" s="273" t="s">
        <v>15538</v>
      </c>
      <c r="O318" s="273" t="s">
        <v>16305</v>
      </c>
      <c r="P318" s="220"/>
      <c r="Q318" s="274" t="s">
        <v>15513</v>
      </c>
      <c r="R318" s="217" t="str">
        <f ca="1">IF(ISERROR($V318),"",OFFSET('Smelter Look-up'!$C$4,$V318-4,0)&amp;"")</f>
        <v>Jiangxi Tonggu Non-ferrous Metallurgical &amp; Chemical Co., Ltd.</v>
      </c>
      <c r="S318" s="225" t="str">
        <f t="shared" ca="1" si="42"/>
        <v>CN</v>
      </c>
      <c r="T318" s="225" t="str">
        <f ca="1">IF(B318="","",IF(ISERROR(MATCH($J318,SorP!$B$1:$B$6230,0)),"",INDIRECT("'SorP'!$A$"&amp;MATCH($J318,SorP!$B$1:$B$6230,0))))</f>
        <v>CN-JX</v>
      </c>
      <c r="U318" s="241"/>
      <c r="V318" s="275">
        <f>IF(C318="",NA(),MATCH($B318&amp;$C318,'Smelter Look-up'!$J:$J,0))</f>
        <v>530</v>
      </c>
      <c r="W318" s="276"/>
      <c r="X318" s="276">
        <f t="shared" si="43"/>
        <v>0</v>
      </c>
      <c r="Y318" s="276"/>
      <c r="Z318" s="276"/>
      <c r="AB318" s="278" t="str">
        <f t="shared" si="44"/>
        <v>TungstenJiangxi Tonggu Non-ferrous Metallurgical &amp; Chemical Co., Ltd.</v>
      </c>
    </row>
    <row r="319" spans="1:28" s="277" customFormat="1" ht="176.4">
      <c r="A319" s="216" t="s">
        <v>145</v>
      </c>
      <c r="B319" s="217" t="s">
        <v>1156</v>
      </c>
      <c r="C319" s="221" t="s">
        <v>156</v>
      </c>
      <c r="D319" s="283" t="s">
        <v>156</v>
      </c>
      <c r="E319" s="217" t="s">
        <v>1123</v>
      </c>
      <c r="F319" s="217" t="str">
        <f ca="1">IF(ISERROR($V319),"",OFFSET('Smelter Look-up'!$E$4,$V319-4,0))</f>
        <v>CID002317</v>
      </c>
      <c r="G319" s="217" t="str">
        <f ca="1">IF(C319=$X$4,"Enter smelter details",IF(ISERROR($V319),"",OFFSET('Smelter Look-up'!$F$4,$V319-4,0)))</f>
        <v>RMI</v>
      </c>
      <c r="H319" s="218" t="s">
        <v>16065</v>
      </c>
      <c r="I319" s="219" t="s">
        <v>1812</v>
      </c>
      <c r="J319" s="219" t="s">
        <v>13966</v>
      </c>
      <c r="K319" s="273"/>
      <c r="L319" s="273"/>
      <c r="M319" s="273"/>
      <c r="N319" s="273" t="s">
        <v>16306</v>
      </c>
      <c r="O319" s="273" t="s">
        <v>16307</v>
      </c>
      <c r="P319" s="220"/>
      <c r="Q319" s="274" t="s">
        <v>15513</v>
      </c>
      <c r="R319" s="217" t="str">
        <f ca="1">IF(ISERROR($V319),"",OFFSET('Smelter Look-up'!$C$4,$V319-4,0)&amp;"")</f>
        <v>Jiangxi Xinsheng Tungsten Industry Co., Ltd.</v>
      </c>
      <c r="S319" s="225" t="str">
        <f t="shared" ca="1" si="42"/>
        <v>CN</v>
      </c>
      <c r="T319" s="225" t="str">
        <f ca="1">IF(B319="","",IF(ISERROR(MATCH($J319,SorP!$B$1:$B$6230,0)),"",INDIRECT("'SorP'!$A$"&amp;MATCH($J319,SorP!$B$1:$B$6230,0))))</f>
        <v>CN-JX</v>
      </c>
      <c r="U319" s="241"/>
      <c r="V319" s="275">
        <f>IF(C319="",NA(),MATCH($B319&amp;$C319,'Smelter Look-up'!$J:$J,0))</f>
        <v>534</v>
      </c>
      <c r="W319" s="276"/>
      <c r="X319" s="276">
        <f t="shared" si="43"/>
        <v>0</v>
      </c>
      <c r="Y319" s="276"/>
      <c r="Z319" s="276"/>
      <c r="AB319" s="278" t="str">
        <f t="shared" si="44"/>
        <v>TungstenJiangxi Xinsheng Tungsten Industry Co., Ltd.</v>
      </c>
    </row>
    <row r="320" spans="1:28" s="277" customFormat="1" ht="163.80000000000001">
      <c r="A320" s="216" t="s">
        <v>144</v>
      </c>
      <c r="B320" s="217" t="s">
        <v>1156</v>
      </c>
      <c r="C320" s="221" t="s">
        <v>155</v>
      </c>
      <c r="D320" s="283" t="s">
        <v>155</v>
      </c>
      <c r="E320" s="217" t="s">
        <v>1123</v>
      </c>
      <c r="F320" s="217" t="str">
        <f ca="1">IF(ISERROR($V320),"",OFFSET('Smelter Look-up'!$E$4,$V320-4,0))</f>
        <v>CID002316</v>
      </c>
      <c r="G320" s="217" t="str">
        <f ca="1">IF(C320=$X$4,"Enter smelter details",IF(ISERROR($V320),"",OFFSET('Smelter Look-up'!$F$4,$V320-4,0)))</f>
        <v>RMI</v>
      </c>
      <c r="H320" s="218" t="s">
        <v>16065</v>
      </c>
      <c r="I320" s="219" t="s">
        <v>1812</v>
      </c>
      <c r="J320" s="219" t="s">
        <v>13966</v>
      </c>
      <c r="K320" s="273"/>
      <c r="L320" s="273"/>
      <c r="M320" s="273"/>
      <c r="N320" s="273" t="s">
        <v>16308</v>
      </c>
      <c r="O320" s="273" t="s">
        <v>16309</v>
      </c>
      <c r="P320" s="220"/>
      <c r="Q320" s="274" t="s">
        <v>15513</v>
      </c>
      <c r="R320" s="217" t="str">
        <f ca="1">IF(ISERROR($V320),"",OFFSET('Smelter Look-up'!$C$4,$V320-4,0)&amp;"")</f>
        <v>Jiangxi Yaosheng Tungsten Co., Ltd.</v>
      </c>
      <c r="S320" s="225" t="str">
        <f t="shared" ca="1" si="42"/>
        <v>CN</v>
      </c>
      <c r="T320" s="225" t="str">
        <f ca="1">IF(B320="","",IF(ISERROR(MATCH($J320,SorP!$B$1:$B$6230,0)),"",INDIRECT("'SorP'!$A$"&amp;MATCH($J320,SorP!$B$1:$B$6230,0))))</f>
        <v>CN-JX</v>
      </c>
      <c r="U320" s="241"/>
      <c r="V320" s="275">
        <f>IF(C320="",NA(),MATCH($B320&amp;$C320,'Smelter Look-up'!$J:$J,0))</f>
        <v>535</v>
      </c>
      <c r="W320" s="276"/>
      <c r="X320" s="276">
        <f t="shared" si="43"/>
        <v>0</v>
      </c>
      <c r="Y320" s="276"/>
      <c r="Z320" s="276"/>
      <c r="AB320" s="278" t="str">
        <f t="shared" si="44"/>
        <v>TungstenJiangxi Yaosheng Tungsten Co., Ltd.</v>
      </c>
    </row>
    <row r="321" spans="1:28" s="277" customFormat="1" ht="289.8">
      <c r="A321" s="216" t="s">
        <v>143</v>
      </c>
      <c r="B321" s="217" t="s">
        <v>1156</v>
      </c>
      <c r="C321" s="221" t="s">
        <v>154</v>
      </c>
      <c r="D321" s="283" t="s">
        <v>154</v>
      </c>
      <c r="E321" s="217" t="s">
        <v>1123</v>
      </c>
      <c r="F321" s="217" t="str">
        <f ca="1">IF(ISERROR($V321),"",OFFSET('Smelter Look-up'!$E$4,$V321-4,0))</f>
        <v>CID002315</v>
      </c>
      <c r="G321" s="217" t="str">
        <f ca="1">IF(C321=$X$4,"Enter smelter details",IF(ISERROR($V321),"",OFFSET('Smelter Look-up'!$F$4,$V321-4,0)))</f>
        <v>RMI</v>
      </c>
      <c r="H321" s="218" t="s">
        <v>16065</v>
      </c>
      <c r="I321" s="219" t="s">
        <v>1812</v>
      </c>
      <c r="J321" s="219" t="s">
        <v>13966</v>
      </c>
      <c r="K321" s="273"/>
      <c r="L321" s="273"/>
      <c r="M321" s="273"/>
      <c r="N321" s="273" t="s">
        <v>15650</v>
      </c>
      <c r="O321" s="273" t="s">
        <v>16310</v>
      </c>
      <c r="P321" s="220"/>
      <c r="Q321" s="274" t="s">
        <v>15513</v>
      </c>
      <c r="R321" s="217" t="str">
        <f ca="1">IF(ISERROR($V321),"",OFFSET('Smelter Look-up'!$C$4,$V321-4,0)&amp;"")</f>
        <v>Ganzhou Jiangwu Ferrotungsten Co., Ltd.</v>
      </c>
      <c r="S321" s="225" t="str">
        <f t="shared" ca="1" si="42"/>
        <v>CN</v>
      </c>
      <c r="T321" s="225" t="str">
        <f ca="1">IF(B321="","",IF(ISERROR(MATCH($J321,SorP!$B$1:$B$6230,0)),"",INDIRECT("'SorP'!$A$"&amp;MATCH($J321,SorP!$B$1:$B$6230,0))))</f>
        <v>CN-JX</v>
      </c>
      <c r="U321" s="241"/>
      <c r="V321" s="275">
        <f>IF(C321="",NA(),MATCH($B321&amp;$C321,'Smelter Look-up'!$J:$J,0))</f>
        <v>509</v>
      </c>
      <c r="W321" s="276"/>
      <c r="X321" s="276">
        <f t="shared" si="43"/>
        <v>0</v>
      </c>
      <c r="Y321" s="276"/>
      <c r="Z321" s="276"/>
      <c r="AB321" s="278" t="str">
        <f t="shared" si="44"/>
        <v>TungstenGanzhou Jiangwu Ferrotungsten Co., Ltd.</v>
      </c>
    </row>
    <row r="322" spans="1:28" s="277" customFormat="1" ht="113.4">
      <c r="A322" s="216" t="s">
        <v>826</v>
      </c>
      <c r="B322" s="217" t="s">
        <v>1156</v>
      </c>
      <c r="C322" s="221" t="s">
        <v>838</v>
      </c>
      <c r="D322" s="283" t="s">
        <v>838</v>
      </c>
      <c r="E322" s="217" t="s">
        <v>1123</v>
      </c>
      <c r="F322" s="217" t="str">
        <f ca="1">IF(ISERROR($V322),"",OFFSET('Smelter Look-up'!$E$4,$V322-4,0))</f>
        <v>CID002313</v>
      </c>
      <c r="G322" s="217" t="str">
        <f ca="1">IF(C322=$X$4,"Enter smelter details",IF(ISERROR($V322),"",OFFSET('Smelter Look-up'!$F$4,$V322-4,0)))</f>
        <v>RMI</v>
      </c>
      <c r="H322" s="218" t="s">
        <v>16311</v>
      </c>
      <c r="I322" s="219" t="s">
        <v>1879</v>
      </c>
      <c r="J322" s="219" t="s">
        <v>13966</v>
      </c>
      <c r="K322" s="273"/>
      <c r="L322" s="273"/>
      <c r="M322" s="273"/>
      <c r="N322" s="273"/>
      <c r="O322" s="273" t="s">
        <v>16312</v>
      </c>
      <c r="P322" s="220"/>
      <c r="Q322" s="274"/>
      <c r="R322" s="217" t="str">
        <f ca="1">IF(ISERROR($V322),"",OFFSET('Smelter Look-up'!$C$4,$V322-4,0)&amp;"")</f>
        <v>Jiangxi Minmetals Gao'an Non-ferrous Metals Co., Ltd.</v>
      </c>
      <c r="S322" s="225" t="str">
        <f t="shared" ca="1" si="42"/>
        <v>CN</v>
      </c>
      <c r="T322" s="225" t="str">
        <f ca="1">IF(B322="","",IF(ISERROR(MATCH($J322,SorP!$B$1:$B$6230,0)),"",INDIRECT("'SorP'!$A$"&amp;MATCH($J322,SorP!$B$1:$B$6230,0))))</f>
        <v>CN-JX</v>
      </c>
      <c r="U322" s="241"/>
      <c r="V322" s="275">
        <f>IF(C322="",NA(),MATCH($B322&amp;$C322,'Smelter Look-up'!$J:$J,0))</f>
        <v>529</v>
      </c>
      <c r="W322" s="276"/>
      <c r="X322" s="276">
        <f t="shared" si="43"/>
        <v>0</v>
      </c>
      <c r="Y322" s="276"/>
      <c r="Z322" s="276"/>
      <c r="AB322" s="278" t="str">
        <f t="shared" si="44"/>
        <v>TungstenJiangxi Minmetals Gao'an Non-ferrous Metals Co., Ltd.</v>
      </c>
    </row>
    <row r="323" spans="1:28" s="277" customFormat="1" ht="289.8">
      <c r="A323" s="216" t="s">
        <v>823</v>
      </c>
      <c r="B323" s="217" t="s">
        <v>1156</v>
      </c>
      <c r="C323" s="221" t="s">
        <v>1406</v>
      </c>
      <c r="D323" s="283" t="s">
        <v>1406</v>
      </c>
      <c r="E323" s="217" t="s">
        <v>1123</v>
      </c>
      <c r="F323" s="217" t="str">
        <f ca="1">IF(ISERROR($V323),"",OFFSET('Smelter Look-up'!$E$4,$V323-4,0))</f>
        <v>CID002082</v>
      </c>
      <c r="G323" s="217" t="str">
        <f ca="1">IF(C323=$X$4,"Enter smelter details",IF(ISERROR($V323),"",OFFSET('Smelter Look-up'!$F$4,$V323-4,0)))</f>
        <v>RMI</v>
      </c>
      <c r="H323" s="218" t="s">
        <v>16299</v>
      </c>
      <c r="I323" s="219" t="s">
        <v>1876</v>
      </c>
      <c r="J323" s="219" t="s">
        <v>13965</v>
      </c>
      <c r="K323" s="273"/>
      <c r="L323" s="273"/>
      <c r="M323" s="273"/>
      <c r="N323" s="273" t="s">
        <v>16313</v>
      </c>
      <c r="O323" s="273" t="s">
        <v>16314</v>
      </c>
      <c r="P323" s="220"/>
      <c r="Q323" s="274" t="s">
        <v>15513</v>
      </c>
      <c r="R323" s="217" t="str">
        <f ca="1">IF(ISERROR($V323),"",OFFSET('Smelter Look-up'!$C$4,$V323-4,0)&amp;"")</f>
        <v>Xiamen Tungsten Co., Ltd.</v>
      </c>
      <c r="S323" s="225" t="str">
        <f t="shared" ca="1" si="42"/>
        <v>CN</v>
      </c>
      <c r="T323" s="225" t="str">
        <f ca="1">IF(B323="","",IF(ISERROR(MATCH($J323,SorP!$B$1:$B$6230,0)),"",INDIRECT("'SorP'!$A$"&amp;MATCH($J323,SorP!$B$1:$B$6230,0))))</f>
        <v>CN-FJ</v>
      </c>
      <c r="U323" s="241"/>
      <c r="V323" s="275">
        <f>IF(C323="",NA(),MATCH($B323&amp;$C323,'Smelter Look-up'!$J:$J,0))</f>
        <v>558</v>
      </c>
      <c r="W323" s="276"/>
      <c r="X323" s="276">
        <f t="shared" si="43"/>
        <v>0</v>
      </c>
      <c r="Y323" s="276"/>
      <c r="Z323" s="276"/>
      <c r="AB323" s="278" t="str">
        <f t="shared" si="44"/>
        <v>TungstenXiamen Tungsten Co., Ltd.</v>
      </c>
    </row>
    <row r="324" spans="1:28" s="277" customFormat="1" ht="264.60000000000002">
      <c r="A324" s="216" t="s">
        <v>822</v>
      </c>
      <c r="B324" s="217" t="s">
        <v>1156</v>
      </c>
      <c r="C324" s="221" t="s">
        <v>2690</v>
      </c>
      <c r="D324" s="283" t="s">
        <v>2690</v>
      </c>
      <c r="E324" s="217" t="s">
        <v>1117</v>
      </c>
      <c r="F324" s="217" t="str">
        <f ca="1">IF(ISERROR($V324),"",OFFSET('Smelter Look-up'!$E$4,$V324-4,0))</f>
        <v>CID002044</v>
      </c>
      <c r="G324" s="217" t="str">
        <f ca="1">IF(C324=$X$4,"Enter smelter details",IF(ISERROR($V324),"",OFFSET('Smelter Look-up'!$F$4,$V324-4,0)))</f>
        <v>RMI</v>
      </c>
      <c r="H324" s="218" t="s">
        <v>16315</v>
      </c>
      <c r="I324" s="219" t="s">
        <v>1873</v>
      </c>
      <c r="J324" s="219" t="s">
        <v>2962</v>
      </c>
      <c r="K324" s="273"/>
      <c r="L324" s="273"/>
      <c r="M324" s="273"/>
      <c r="N324" s="273" t="s">
        <v>16316</v>
      </c>
      <c r="O324" s="273" t="s">
        <v>16317</v>
      </c>
      <c r="P324" s="220"/>
      <c r="Q324" s="274" t="s">
        <v>15513</v>
      </c>
      <c r="R324" s="217" t="str">
        <f ca="1">IF(ISERROR($V324),"",OFFSET('Smelter Look-up'!$C$4,$V324-4,0)&amp;"")</f>
        <v>Wolfram Bergbau und Hutten AG</v>
      </c>
      <c r="S324" s="225" t="str">
        <f t="shared" ca="1" si="42"/>
        <v>AT</v>
      </c>
      <c r="T324" s="225" t="str">
        <f ca="1">IF(B324="","",IF(ISERROR(MATCH($J324,SorP!$B$1:$B$6230,0)),"",INDIRECT("'SorP'!$A$"&amp;MATCH($J324,SorP!$B$1:$B$6230,0))))</f>
        <v>AT-6</v>
      </c>
      <c r="U324" s="241"/>
      <c r="V324" s="275">
        <f>IF(C324="",NA(),MATCH($B324&amp;$C324,'Smelter Look-up'!$J:$J,0))</f>
        <v>553</v>
      </c>
      <c r="W324" s="276"/>
      <c r="X324" s="276">
        <f t="shared" si="43"/>
        <v>0</v>
      </c>
      <c r="Y324" s="276"/>
      <c r="Z324" s="276"/>
      <c r="AB324" s="278" t="str">
        <f t="shared" si="44"/>
        <v>TungstenWolfram Bergbau und Hutten AG</v>
      </c>
    </row>
    <row r="325" spans="1:28" s="277" customFormat="1" ht="214.2">
      <c r="A325" s="216" t="s">
        <v>820</v>
      </c>
      <c r="B325" s="217" t="s">
        <v>1156</v>
      </c>
      <c r="C325" s="221" t="s">
        <v>153</v>
      </c>
      <c r="D325" s="283" t="s">
        <v>153</v>
      </c>
      <c r="E325" s="217" t="s">
        <v>2576</v>
      </c>
      <c r="F325" s="217" t="str">
        <f ca="1">IF(ISERROR($V325),"",OFFSET('Smelter Look-up'!$E$4,$V325-4,0))</f>
        <v>CID000966</v>
      </c>
      <c r="G325" s="217" t="str">
        <f ca="1">IF(C325=$X$4,"Enter smelter details",IF(ISERROR($V325),"",OFFSET('Smelter Look-up'!$F$4,$V325-4,0)))</f>
        <v>RMI</v>
      </c>
      <c r="H325" s="218" t="s">
        <v>16318</v>
      </c>
      <c r="I325" s="219" t="s">
        <v>1871</v>
      </c>
      <c r="J325" s="219" t="s">
        <v>1794</v>
      </c>
      <c r="K325" s="273"/>
      <c r="L325" s="273"/>
      <c r="M325" s="273"/>
      <c r="N325" s="273" t="s">
        <v>16319</v>
      </c>
      <c r="O325" s="273" t="s">
        <v>16320</v>
      </c>
      <c r="P325" s="220"/>
      <c r="Q325" s="274" t="s">
        <v>15513</v>
      </c>
      <c r="R325" s="217" t="str">
        <f ca="1">IF(ISERROR($V325),"",OFFSET('Smelter Look-up'!$C$4,$V325-4,0)&amp;"")</f>
        <v>Kennametal Fallon</v>
      </c>
      <c r="S325" s="225" t="str">
        <f t="shared" ref="S325" ca="1" si="45">IF(B325="","",IF(ISERROR(MATCH($E325,CL,0)),"Unknown",INDIRECT("'C'!$A$"&amp;MATCH($E325,CL,0)+1)))</f>
        <v>US</v>
      </c>
      <c r="T325" s="225" t="str">
        <f ca="1">IF(B325="","",IF(ISERROR(MATCH($J325,SorP!$B$1:$B$6230,0)),"",INDIRECT("'SorP'!$A$"&amp;MATCH($J325,SorP!$B$1:$B$6230,0))))</f>
        <v>US-NV</v>
      </c>
      <c r="U325" s="241"/>
      <c r="V325" s="275">
        <f>IF(C325="",NA(),MATCH($B325&amp;$C325,'Smelter Look-up'!$J:$J,0))</f>
        <v>537</v>
      </c>
      <c r="W325" s="276"/>
      <c r="X325" s="276">
        <f t="shared" ref="X325" si="46">IF(AND(C325="Smelter not listed",OR(LEN(D325)=0,LEN(E325)=0)),1,0)</f>
        <v>0</v>
      </c>
      <c r="Y325" s="276"/>
      <c r="Z325" s="276"/>
      <c r="AB325" s="278" t="str">
        <f t="shared" ref="AB325" si="47">B325&amp;C325</f>
        <v>TungstenKennametal Fallon</v>
      </c>
    </row>
    <row r="326" spans="1:28" s="277" customFormat="1" ht="264.60000000000002">
      <c r="A326" s="216" t="s">
        <v>819</v>
      </c>
      <c r="B326" s="217" t="s">
        <v>1156</v>
      </c>
      <c r="C326" s="221" t="s">
        <v>152</v>
      </c>
      <c r="D326" s="283" t="s">
        <v>152</v>
      </c>
      <c r="E326" s="217" t="s">
        <v>1123</v>
      </c>
      <c r="F326" s="217" t="str">
        <f ca="1">IF(ISERROR($V326),"",OFFSET('Smelter Look-up'!$E$4,$V326-4,0))</f>
        <v>CID000875</v>
      </c>
      <c r="G326" s="217" t="str">
        <f ca="1">IF(C326=$X$4,"Enter smelter details",IF(ISERROR($V326),"",OFFSET('Smelter Look-up'!$F$4,$V326-4,0)))</f>
        <v>RMI</v>
      </c>
      <c r="H326" s="218" t="s">
        <v>16065</v>
      </c>
      <c r="I326" s="219" t="s">
        <v>1812</v>
      </c>
      <c r="J326" s="219" t="s">
        <v>13966</v>
      </c>
      <c r="K326" s="273"/>
      <c r="L326" s="273"/>
      <c r="M326" s="273"/>
      <c r="N326" s="273" t="s">
        <v>16321</v>
      </c>
      <c r="O326" s="273" t="s">
        <v>16322</v>
      </c>
      <c r="P326" s="220"/>
      <c r="Q326" s="274" t="s">
        <v>15513</v>
      </c>
      <c r="R326" s="217" t="str">
        <f ca="1">IF(ISERROR($V326),"",OFFSET('Smelter Look-up'!$C$4,$V326-4,0)&amp;"")</f>
        <v>Ganzhou Huaxing Tungsten Products Co., Ltd.</v>
      </c>
      <c r="S326" s="225" t="str">
        <f t="shared" ref="S326:S357" ca="1" si="48">IF(B326="","",IF(ISERROR(MATCH($E326,CL,0)),"Unknown",INDIRECT("'C'!$A$"&amp;MATCH($E326,CL,0)+1)))</f>
        <v>CN</v>
      </c>
      <c r="T326" s="225" t="str">
        <f ca="1">IF(B326="","",IF(ISERROR(MATCH($J326,SorP!$B$1:$B$6230,0)),"",INDIRECT("'SorP'!$A$"&amp;MATCH($J326,SorP!$B$1:$B$6230,0))))</f>
        <v>CN-JX</v>
      </c>
      <c r="U326" s="241"/>
      <c r="V326" s="275">
        <f>IF(C326="",NA(),MATCH($B326&amp;$C326,'Smelter Look-up'!$J:$J,0))</f>
        <v>508</v>
      </c>
      <c r="W326" s="276"/>
      <c r="X326" s="276">
        <f t="shared" ref="X326:X357" si="49">IF(AND(C326="Smelter not listed",OR(LEN(D326)=0,LEN(E326)=0)),1,0)</f>
        <v>0</v>
      </c>
      <c r="Y326" s="276"/>
      <c r="Z326" s="276"/>
      <c r="AB326" s="278" t="str">
        <f t="shared" ref="AB326:AB357" si="50">B326&amp;C326</f>
        <v>TungstenGanzhou Huaxing Tungsten Products Co., Ltd.</v>
      </c>
    </row>
    <row r="327" spans="1:28" s="277" customFormat="1" ht="315">
      <c r="A327" s="216" t="s">
        <v>818</v>
      </c>
      <c r="B327" s="217" t="s">
        <v>1156</v>
      </c>
      <c r="C327" s="221" t="s">
        <v>1405</v>
      </c>
      <c r="D327" s="283" t="s">
        <v>1405</v>
      </c>
      <c r="E327" s="217" t="s">
        <v>1131</v>
      </c>
      <c r="F327" s="217" t="str">
        <f ca="1">IF(ISERROR($V327),"",OFFSET('Smelter Look-up'!$E$4,$V327-4,0))</f>
        <v>CID000825</v>
      </c>
      <c r="G327" s="217" t="str">
        <f ca="1">IF(C327=$X$4,"Enter smelter details",IF(ISERROR($V327),"",OFFSET('Smelter Look-up'!$F$4,$V327-4,0)))</f>
        <v>RMI</v>
      </c>
      <c r="H327" s="218" t="s">
        <v>16323</v>
      </c>
      <c r="I327" s="219" t="s">
        <v>2239</v>
      </c>
      <c r="J327" s="219" t="s">
        <v>1605</v>
      </c>
      <c r="K327" s="273"/>
      <c r="L327" s="273"/>
      <c r="M327" s="273"/>
      <c r="N327" s="273" t="s">
        <v>16324</v>
      </c>
      <c r="O327" s="273" t="s">
        <v>16325</v>
      </c>
      <c r="P327" s="220"/>
      <c r="Q327" s="274" t="s">
        <v>15513</v>
      </c>
      <c r="R327" s="217" t="str">
        <f ca="1">IF(ISERROR($V327),"",OFFSET('Smelter Look-up'!$C$4,$V327-4,0)&amp;"")</f>
        <v>Japan New Metals Co., Ltd.</v>
      </c>
      <c r="S327" s="225" t="str">
        <f t="shared" ca="1" si="48"/>
        <v>JP</v>
      </c>
      <c r="T327" s="225" t="str">
        <f ca="1">IF(B327="","",IF(ISERROR(MATCH($J327,SorP!$B$1:$B$6230,0)),"",INDIRECT("'SorP'!$A$"&amp;MATCH($J327,SorP!$B$1:$B$6230,0))))</f>
        <v>JP-05</v>
      </c>
      <c r="U327" s="241"/>
      <c r="V327" s="275">
        <f>IF(C327="",NA(),MATCH($B327&amp;$C327,'Smelter Look-up'!$J:$J,0))</f>
        <v>525</v>
      </c>
      <c r="W327" s="276"/>
      <c r="X327" s="276">
        <f t="shared" si="49"/>
        <v>0</v>
      </c>
      <c r="Y327" s="276"/>
      <c r="Z327" s="276"/>
      <c r="AB327" s="278" t="str">
        <f t="shared" si="50"/>
        <v>TungstenJapan New Metals Co., Ltd.</v>
      </c>
    </row>
    <row r="328" spans="1:28" s="277" customFormat="1" ht="252">
      <c r="A328" s="216" t="s">
        <v>817</v>
      </c>
      <c r="B328" s="217" t="s">
        <v>1156</v>
      </c>
      <c r="C328" s="221" t="s">
        <v>1404</v>
      </c>
      <c r="D328" s="283" t="s">
        <v>1404</v>
      </c>
      <c r="E328" s="217" t="s">
        <v>1123</v>
      </c>
      <c r="F328" s="217" t="str">
        <f ca="1">IF(ISERROR($V328),"",OFFSET('Smelter Look-up'!$E$4,$V328-4,0))</f>
        <v>CID000769</v>
      </c>
      <c r="G328" s="217" t="str">
        <f ca="1">IF(C328=$X$4,"Enter smelter details",IF(ISERROR($V328),"",OFFSET('Smelter Look-up'!$F$4,$V328-4,0)))</f>
        <v>RMI</v>
      </c>
      <c r="H328" s="218" t="s">
        <v>15985</v>
      </c>
      <c r="I328" s="219" t="s">
        <v>1777</v>
      </c>
      <c r="J328" s="219" t="s">
        <v>13970</v>
      </c>
      <c r="K328" s="273"/>
      <c r="L328" s="273"/>
      <c r="M328" s="273"/>
      <c r="N328" s="273" t="s">
        <v>16326</v>
      </c>
      <c r="O328" s="273" t="s">
        <v>16327</v>
      </c>
      <c r="P328" s="220"/>
      <c r="Q328" s="274" t="s">
        <v>15513</v>
      </c>
      <c r="R328" s="217" t="str">
        <f ca="1">IF(ISERROR($V328),"",OFFSET('Smelter Look-up'!$C$4,$V328-4,0)&amp;"")</f>
        <v>Hunan Chunchang Nonferrous Metals Co., Ltd.</v>
      </c>
      <c r="S328" s="225" t="str">
        <f t="shared" ca="1" si="48"/>
        <v>CN</v>
      </c>
      <c r="T328" s="225" t="str">
        <f ca="1">IF(B328="","",IF(ISERROR(MATCH($J328,SorP!$B$1:$B$6230,0)),"",INDIRECT("'SorP'!$A$"&amp;MATCH($J328,SorP!$B$1:$B$6230,0))))</f>
        <v>CN-HN</v>
      </c>
      <c r="U328" s="241"/>
      <c r="V328" s="275">
        <f>IF(C328="",NA(),MATCH($B328&amp;$C328,'Smelter Look-up'!$J:$J,0))</f>
        <v>522</v>
      </c>
      <c r="W328" s="276"/>
      <c r="X328" s="276">
        <f t="shared" si="49"/>
        <v>0</v>
      </c>
      <c r="Y328" s="276"/>
      <c r="Z328" s="276"/>
      <c r="AB328" s="278" t="str">
        <f t="shared" si="50"/>
        <v>TungstenHunan Chunchang Nonferrous Metals Co., Ltd.</v>
      </c>
    </row>
    <row r="329" spans="1:28" s="277" customFormat="1" ht="264.60000000000002">
      <c r="A329" s="216" t="s">
        <v>816</v>
      </c>
      <c r="B329" s="217" t="s">
        <v>1156</v>
      </c>
      <c r="C329" s="221" t="s">
        <v>2324</v>
      </c>
      <c r="D329" s="283" t="s">
        <v>2324</v>
      </c>
      <c r="E329" s="217" t="s">
        <v>1123</v>
      </c>
      <c r="F329" s="217" t="str">
        <f ca="1">IF(ISERROR($V329),"",OFFSET('Smelter Look-up'!$E$4,$V329-4,0))</f>
        <v>CID000766</v>
      </c>
      <c r="G329" s="217" t="str">
        <f ca="1">IF(C329=$X$4,"Enter smelter details",IF(ISERROR($V329),"",OFFSET('Smelter Look-up'!$F$4,$V329-4,0)))</f>
        <v>RMI</v>
      </c>
      <c r="H329" s="218" t="s">
        <v>15830</v>
      </c>
      <c r="I329" s="219" t="s">
        <v>2238</v>
      </c>
      <c r="J329" s="219" t="s">
        <v>13970</v>
      </c>
      <c r="K329" s="273"/>
      <c r="L329" s="273"/>
      <c r="M329" s="273"/>
      <c r="N329" s="273" t="s">
        <v>15538</v>
      </c>
      <c r="O329" s="273" t="s">
        <v>16328</v>
      </c>
      <c r="P329" s="220"/>
      <c r="Q329" s="274" t="s">
        <v>15513</v>
      </c>
      <c r="R329" s="217" t="str">
        <f ca="1">IF(ISERROR($V329),"",OFFSET('Smelter Look-up'!$C$4,$V329-4,0)&amp;"")</f>
        <v>Hunan Chenzhou Mining Co., Ltd.</v>
      </c>
      <c r="S329" s="225" t="str">
        <f t="shared" ca="1" si="48"/>
        <v>CN</v>
      </c>
      <c r="T329" s="225" t="str">
        <f ca="1">IF(B329="","",IF(ISERROR(MATCH($J329,SorP!$B$1:$B$6230,0)),"",INDIRECT("'SorP'!$A$"&amp;MATCH($J329,SorP!$B$1:$B$6230,0))))</f>
        <v>CN-HN</v>
      </c>
      <c r="U329" s="241"/>
      <c r="V329" s="275">
        <f>IF(C329="",NA(),MATCH($B329&amp;$C329,'Smelter Look-up'!$J:$J,0))</f>
        <v>519</v>
      </c>
      <c r="W329" s="276"/>
      <c r="X329" s="276">
        <f t="shared" si="49"/>
        <v>0</v>
      </c>
      <c r="Y329" s="276"/>
      <c r="Z329" s="276"/>
      <c r="AB329" s="278" t="str">
        <f t="shared" si="50"/>
        <v>TungstenHunan Chenzhou Mining Co., Ltd.</v>
      </c>
    </row>
    <row r="330" spans="1:28" s="277" customFormat="1" ht="315">
      <c r="A330" s="216" t="s">
        <v>815</v>
      </c>
      <c r="B330" s="217" t="s">
        <v>1156</v>
      </c>
      <c r="C330" s="221" t="s">
        <v>1</v>
      </c>
      <c r="D330" s="283" t="s">
        <v>1</v>
      </c>
      <c r="E330" s="217" t="s">
        <v>2576</v>
      </c>
      <c r="F330" s="217" t="str">
        <f ca="1">IF(ISERROR($V330),"",OFFSET('Smelter Look-up'!$E$4,$V330-4,0))</f>
        <v>CID000568</v>
      </c>
      <c r="G330" s="217" t="str">
        <f ca="1">IF(C330=$X$4,"Enter smelter details",IF(ISERROR($V330),"",OFFSET('Smelter Look-up'!$F$4,$V330-4,0)))</f>
        <v>RMI</v>
      </c>
      <c r="H330" s="218" t="s">
        <v>16329</v>
      </c>
      <c r="I330" s="219" t="s">
        <v>1868</v>
      </c>
      <c r="J330" s="219" t="s">
        <v>1774</v>
      </c>
      <c r="K330" s="273"/>
      <c r="L330" s="273"/>
      <c r="M330" s="273"/>
      <c r="N330" s="273" t="s">
        <v>16330</v>
      </c>
      <c r="O330" s="273" t="s">
        <v>16331</v>
      </c>
      <c r="P330" s="220"/>
      <c r="Q330" s="274" t="s">
        <v>15513</v>
      </c>
      <c r="R330" s="217" t="str">
        <f ca="1">IF(ISERROR($V330),"",OFFSET('Smelter Look-up'!$C$4,$V330-4,0)&amp;"")</f>
        <v>Global Tungsten &amp; Powders Corp.</v>
      </c>
      <c r="S330" s="225" t="str">
        <f t="shared" ca="1" si="48"/>
        <v>US</v>
      </c>
      <c r="T330" s="225" t="str">
        <f ca="1">IF(B330="","",IF(ISERROR(MATCH($J330,SorP!$B$1:$B$6230,0)),"",INDIRECT("'SorP'!$A$"&amp;MATCH($J330,SorP!$B$1:$B$6230,0))))</f>
        <v>US-PA</v>
      </c>
      <c r="U330" s="241"/>
      <c r="V330" s="275">
        <f>IF(C330="",NA(),MATCH($B330&amp;$C330,'Smelter Look-up'!$J:$J,0))</f>
        <v>512</v>
      </c>
      <c r="W330" s="276"/>
      <c r="X330" s="276">
        <f t="shared" si="49"/>
        <v>0</v>
      </c>
      <c r="Y330" s="276"/>
      <c r="Z330" s="276"/>
      <c r="AB330" s="278" t="str">
        <f t="shared" si="50"/>
        <v>TungstenGlobal Tungsten &amp; Powders Corp.</v>
      </c>
    </row>
    <row r="331" spans="1:28" s="277" customFormat="1" ht="63">
      <c r="A331" s="216" t="s">
        <v>14167</v>
      </c>
      <c r="B331" s="217" t="s">
        <v>1156</v>
      </c>
      <c r="C331" s="221" t="s">
        <v>2247</v>
      </c>
      <c r="D331" s="283" t="s">
        <v>2247</v>
      </c>
      <c r="E331" s="217" t="s">
        <v>1123</v>
      </c>
      <c r="F331" s="217" t="str">
        <f ca="1">IF(ISERROR($V331),"",OFFSET('Smelter Look-up'!$E$4,$V331-4,0))</f>
        <v>CID000281</v>
      </c>
      <c r="G331" s="217" t="str">
        <f ca="1">IF(C331=$X$4,"Enter smelter details",IF(ISERROR($V331),"",OFFSET('Smelter Look-up'!$F$4,$V331-4,0)))</f>
        <v>RMI</v>
      </c>
      <c r="H331" s="218" t="s">
        <v>16332</v>
      </c>
      <c r="I331" s="219" t="s">
        <v>1797</v>
      </c>
      <c r="J331" s="219" t="s">
        <v>13950</v>
      </c>
      <c r="K331" s="273"/>
      <c r="L331" s="273"/>
      <c r="M331" s="273"/>
      <c r="N331" s="273"/>
      <c r="O331" s="273" t="s">
        <v>15507</v>
      </c>
      <c r="P331" s="220"/>
      <c r="Q331" s="274"/>
      <c r="R331" s="217" t="str">
        <f ca="1">IF(ISERROR($V331),"",OFFSET('Smelter Look-up'!$C$4,$V331-4,0)&amp;"")</f>
        <v>CNMC (Guangxi) PGMA Co., Ltd.</v>
      </c>
      <c r="S331" s="225" t="str">
        <f t="shared" ca="1" si="48"/>
        <v>CN</v>
      </c>
      <c r="T331" s="225" t="str">
        <f ca="1">IF(B331="","",IF(ISERROR(MATCH($J331,SorP!$B$1:$B$6230,0)),"",INDIRECT("'SorP'!$A$"&amp;MATCH($J331,SorP!$B$1:$B$6230,0))))</f>
        <v>CN-GX</v>
      </c>
      <c r="U331" s="241"/>
      <c r="V331" s="275">
        <f>IF(C331="",NA(),MATCH($B331&amp;$C331,'Smelter Look-up'!$J:$J,0))</f>
        <v>502</v>
      </c>
      <c r="W331" s="276"/>
      <c r="X331" s="276">
        <f t="shared" si="49"/>
        <v>0</v>
      </c>
      <c r="Y331" s="276"/>
      <c r="Z331" s="276"/>
      <c r="AB331" s="278" t="str">
        <f t="shared" si="50"/>
        <v>TungstenCNMC (Guangxi) PGMA Co., Ltd.</v>
      </c>
    </row>
    <row r="332" spans="1:28" s="277" customFormat="1" ht="163.80000000000001">
      <c r="A332" s="216" t="s">
        <v>813</v>
      </c>
      <c r="B332" s="217" t="s">
        <v>1156</v>
      </c>
      <c r="C332" s="221" t="s">
        <v>1402</v>
      </c>
      <c r="D332" s="283" t="s">
        <v>1402</v>
      </c>
      <c r="E332" s="217" t="s">
        <v>1123</v>
      </c>
      <c r="F332" s="217" t="str">
        <f ca="1">IF(ISERROR($V332),"",OFFSET('Smelter Look-up'!$E$4,$V332-4,0))</f>
        <v>CID000258</v>
      </c>
      <c r="G332" s="217" t="str">
        <f ca="1">IF(C332=$X$4,"Enter smelter details",IF(ISERROR($V332),"",OFFSET('Smelter Look-up'!$F$4,$V332-4,0)))</f>
        <v>RMI</v>
      </c>
      <c r="H332" s="218" t="s">
        <v>16065</v>
      </c>
      <c r="I332" s="219" t="s">
        <v>1812</v>
      </c>
      <c r="J332" s="219" t="s">
        <v>13966</v>
      </c>
      <c r="K332" s="273"/>
      <c r="L332" s="273"/>
      <c r="M332" s="273"/>
      <c r="N332" s="273" t="s">
        <v>16333</v>
      </c>
      <c r="O332" s="273" t="s">
        <v>16334</v>
      </c>
      <c r="P332" s="220"/>
      <c r="Q332" s="274" t="s">
        <v>15513</v>
      </c>
      <c r="R332" s="217" t="str">
        <f ca="1">IF(ISERROR($V332),"",OFFSET('Smelter Look-up'!$C$4,$V332-4,0)&amp;"")</f>
        <v>Chongyi Zhangyuan Tungsten Co., Ltd.</v>
      </c>
      <c r="S332" s="225" t="str">
        <f t="shared" ca="1" si="48"/>
        <v>CN</v>
      </c>
      <c r="T332" s="225" t="str">
        <f ca="1">IF(B332="","",IF(ISERROR(MATCH($J332,SorP!$B$1:$B$6230,0)),"",INDIRECT("'SorP'!$A$"&amp;MATCH($J332,SorP!$B$1:$B$6230,0))))</f>
        <v>CN-JX</v>
      </c>
      <c r="U332" s="241"/>
      <c r="V332" s="275">
        <f>IF(C332="",NA(),MATCH($B332&amp;$C332,'Smelter Look-up'!$J:$J,0))</f>
        <v>501</v>
      </c>
      <c r="W332" s="276"/>
      <c r="X332" s="276">
        <f t="shared" si="49"/>
        <v>0</v>
      </c>
      <c r="Y332" s="276"/>
      <c r="Z332" s="276"/>
      <c r="AB332" s="278" t="str">
        <f t="shared" si="50"/>
        <v>TungstenChongyi Zhangyuan Tungsten Co., Ltd.</v>
      </c>
    </row>
    <row r="333" spans="1:28" s="277" customFormat="1" ht="252">
      <c r="A333" s="216" t="s">
        <v>812</v>
      </c>
      <c r="B333" s="217" t="s">
        <v>1156</v>
      </c>
      <c r="C333" s="221" t="s">
        <v>1403</v>
      </c>
      <c r="D333" s="283" t="s">
        <v>1403</v>
      </c>
      <c r="E333" s="217" t="s">
        <v>1123</v>
      </c>
      <c r="F333" s="217" t="str">
        <f ca="1">IF(ISERROR($V333),"",OFFSET('Smelter Look-up'!$E$4,$V333-4,0))</f>
        <v>CID000218</v>
      </c>
      <c r="G333" s="217" t="str">
        <f ca="1">IF(C333=$X$4,"Enter smelter details",IF(ISERROR($V333),"",OFFSET('Smelter Look-up'!$F$4,$V333-4,0)))</f>
        <v>RMI</v>
      </c>
      <c r="H333" s="218" t="s">
        <v>16061</v>
      </c>
      <c r="I333" s="219" t="s">
        <v>1865</v>
      </c>
      <c r="J333" s="219" t="s">
        <v>13971</v>
      </c>
      <c r="K333" s="273"/>
      <c r="L333" s="273"/>
      <c r="M333" s="273"/>
      <c r="N333" s="273" t="s">
        <v>15538</v>
      </c>
      <c r="O333" s="273" t="s">
        <v>16335</v>
      </c>
      <c r="P333" s="220"/>
      <c r="Q333" s="274" t="s">
        <v>15513</v>
      </c>
      <c r="R333" s="217" t="str">
        <f ca="1">IF(ISERROR($V333),"",OFFSET('Smelter Look-up'!$C$4,$V333-4,0)&amp;"")</f>
        <v>Guangdong Xianglu Tungsten Co., Ltd.</v>
      </c>
      <c r="S333" s="225" t="str">
        <f t="shared" ca="1" si="48"/>
        <v>CN</v>
      </c>
      <c r="T333" s="225" t="str">
        <f ca="1">IF(B333="","",IF(ISERROR(MATCH($J333,SorP!$B$1:$B$6230,0)),"",INDIRECT("'SorP'!$A$"&amp;MATCH($J333,SorP!$B$1:$B$6230,0))))</f>
        <v>CN-GD</v>
      </c>
      <c r="U333" s="241"/>
      <c r="V333" s="275">
        <f>IF(C333="",NA(),MATCH($B333&amp;$C333,'Smelter Look-up'!$J:$J,0))</f>
        <v>514</v>
      </c>
      <c r="W333" s="276"/>
      <c r="X333" s="276">
        <f t="shared" si="49"/>
        <v>0</v>
      </c>
      <c r="Y333" s="276"/>
      <c r="Z333" s="276"/>
      <c r="AB333" s="278" t="str">
        <f t="shared" si="50"/>
        <v>TungstenGuangdong Xianglu Tungsten Co., Ltd.</v>
      </c>
    </row>
    <row r="334" spans="1:28" s="277" customFormat="1" ht="201.6">
      <c r="A334" s="216" t="s">
        <v>811</v>
      </c>
      <c r="B334" s="217" t="s">
        <v>1156</v>
      </c>
      <c r="C334" s="221" t="s">
        <v>151</v>
      </c>
      <c r="D334" s="283" t="s">
        <v>151</v>
      </c>
      <c r="E334" s="217" t="s">
        <v>2576</v>
      </c>
      <c r="F334" s="217" t="str">
        <f ca="1">IF(ISERROR($V334),"",OFFSET('Smelter Look-up'!$E$4,$V334-4,0))</f>
        <v>CID000105</v>
      </c>
      <c r="G334" s="217" t="str">
        <f ca="1">IF(C334=$X$4,"Enter smelter details",IF(ISERROR($V334),"",OFFSET('Smelter Look-up'!$F$4,$V334-4,0)))</f>
        <v>RMI</v>
      </c>
      <c r="H334" s="218" t="s">
        <v>16336</v>
      </c>
      <c r="I334" s="219" t="s">
        <v>1863</v>
      </c>
      <c r="J334" s="219" t="s">
        <v>1864</v>
      </c>
      <c r="K334" s="273"/>
      <c r="L334" s="273"/>
      <c r="M334" s="273"/>
      <c r="N334" s="273" t="s">
        <v>16337</v>
      </c>
      <c r="O334" s="273" t="s">
        <v>16338</v>
      </c>
      <c r="P334" s="220"/>
      <c r="Q334" s="274" t="s">
        <v>15513</v>
      </c>
      <c r="R334" s="217" t="str">
        <f ca="1">IF(ISERROR($V334),"",OFFSET('Smelter Look-up'!$C$4,$V334-4,0)&amp;"")</f>
        <v>Kennametal Huntsville</v>
      </c>
      <c r="S334" s="225" t="str">
        <f t="shared" ca="1" si="48"/>
        <v>US</v>
      </c>
      <c r="T334" s="225" t="str">
        <f ca="1">IF(B334="","",IF(ISERROR(MATCH($J334,SorP!$B$1:$B$6230,0)),"",INDIRECT("'SorP'!$A$"&amp;MATCH($J334,SorP!$B$1:$B$6230,0))))</f>
        <v>US-AL</v>
      </c>
      <c r="U334" s="241"/>
      <c r="V334" s="275">
        <f>IF(C334="",NA(),MATCH($B334&amp;$C334,'Smelter Look-up'!$J:$J,0))</f>
        <v>538</v>
      </c>
      <c r="W334" s="276"/>
      <c r="X334" s="276">
        <f t="shared" si="49"/>
        <v>0</v>
      </c>
      <c r="Y334" s="276"/>
      <c r="Z334" s="276"/>
      <c r="AB334" s="278" t="str">
        <f t="shared" si="50"/>
        <v>TungstenKennametal Huntsville</v>
      </c>
    </row>
    <row r="335" spans="1:28" s="277" customFormat="1" ht="189">
      <c r="A335" s="216" t="s">
        <v>810</v>
      </c>
      <c r="B335" s="217" t="s">
        <v>1156</v>
      </c>
      <c r="C335" s="221" t="s">
        <v>14163</v>
      </c>
      <c r="D335" s="283" t="s">
        <v>14163</v>
      </c>
      <c r="E335" s="217" t="s">
        <v>1131</v>
      </c>
      <c r="F335" s="217" t="str">
        <f ca="1">IF(ISERROR($V335),"",OFFSET('Smelter Look-up'!$E$4,$V335-4,0))</f>
        <v>CID000004</v>
      </c>
      <c r="G335" s="217" t="str">
        <f ca="1">IF(C335=$X$4,"Enter smelter details",IF(ISERROR($V335),"",OFFSET('Smelter Look-up'!$F$4,$V335-4,0)))</f>
        <v>RMI</v>
      </c>
      <c r="H335" s="218" t="s">
        <v>16339</v>
      </c>
      <c r="I335" s="219" t="s">
        <v>2236</v>
      </c>
      <c r="J335" s="219" t="s">
        <v>2237</v>
      </c>
      <c r="K335" s="273"/>
      <c r="L335" s="273"/>
      <c r="M335" s="273"/>
      <c r="N335" s="273" t="s">
        <v>16340</v>
      </c>
      <c r="O335" s="273" t="s">
        <v>16341</v>
      </c>
      <c r="P335" s="220"/>
      <c r="Q335" s="274" t="s">
        <v>15513</v>
      </c>
      <c r="R335" s="217" t="str">
        <f ca="1">IF(ISERROR($V335),"",OFFSET('Smelter Look-up'!$C$4,$V335-4,0)&amp;"")</f>
        <v>A.L.M.T. Corp.</v>
      </c>
      <c r="S335" s="225" t="str">
        <f t="shared" ca="1" si="48"/>
        <v>JP</v>
      </c>
      <c r="T335" s="225" t="str">
        <f ca="1">IF(B335="","",IF(ISERROR(MATCH($J335,SorP!$B$1:$B$6230,0)),"",INDIRECT("'SorP'!$A$"&amp;MATCH($J335,SorP!$B$1:$B$6230,0))))</f>
        <v>JP-16</v>
      </c>
      <c r="U335" s="241"/>
      <c r="V335" s="275">
        <f>IF(C335="",NA(),MATCH($B335&amp;$C335,'Smelter Look-up'!$J:$J,0))</f>
        <v>486</v>
      </c>
      <c r="W335" s="276"/>
      <c r="X335" s="276">
        <f t="shared" si="49"/>
        <v>0</v>
      </c>
      <c r="Y335" s="276"/>
      <c r="Z335" s="276"/>
      <c r="AB335" s="278" t="str">
        <f t="shared" si="50"/>
        <v>TungstenA.L.M.T. Corp.</v>
      </c>
    </row>
    <row r="336" spans="1:28" s="277" customFormat="1" ht="50.4">
      <c r="A336" s="216"/>
      <c r="B336" s="217" t="s">
        <v>1156</v>
      </c>
      <c r="C336" s="221" t="s">
        <v>1898</v>
      </c>
      <c r="D336" s="283" t="s">
        <v>16342</v>
      </c>
      <c r="E336" s="217" t="s">
        <v>1123</v>
      </c>
      <c r="F336" s="217"/>
      <c r="G336" s="217"/>
      <c r="H336" s="218"/>
      <c r="I336" s="219"/>
      <c r="J336" s="219"/>
      <c r="K336" s="273"/>
      <c r="L336" s="273"/>
      <c r="M336" s="273"/>
      <c r="N336" s="273"/>
      <c r="O336" s="273"/>
      <c r="P336" s="220"/>
      <c r="Q336" s="274"/>
      <c r="R336" s="217" t="str">
        <f ca="1">IF(ISERROR($V336),"",OFFSET('Smelter Look-up'!$C$4,$V336-4,0)&amp;"")</f>
        <v/>
      </c>
      <c r="S336" s="225" t="str">
        <f t="shared" ca="1" si="48"/>
        <v>CN</v>
      </c>
      <c r="T336" s="225" t="str">
        <f ca="1">IF(B336="","",IF(ISERROR(MATCH($J336,SorP!$B$1:$B$6230,0)),"",INDIRECT("'SorP'!$A$"&amp;MATCH($J336,SorP!$B$1:$B$6230,0))))</f>
        <v/>
      </c>
      <c r="U336" s="241"/>
      <c r="V336" s="275">
        <f>IF(C336="",NA(),MATCH($B336&amp;$C336,'Smelter Look-up'!$J:$J,0))</f>
        <v>590</v>
      </c>
      <c r="W336" s="276"/>
      <c r="X336" s="276">
        <f t="shared" si="49"/>
        <v>0</v>
      </c>
      <c r="Y336" s="276"/>
      <c r="Z336" s="276"/>
      <c r="AB336" s="278" t="str">
        <f t="shared" si="50"/>
        <v>TungstenSmelter not listed</v>
      </c>
    </row>
    <row r="337" spans="1:28" s="277" customFormat="1" ht="20.399999999999999">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399999999999999">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399999999999999">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399999999999999">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399999999999999">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399999999999999">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399999999999999">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399999999999999">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399999999999999">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399999999999999">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399999999999999">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399999999999999">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399999999999999">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399999999999999">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399999999999999">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399999999999999">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399999999999999">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399999999999999">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399999999999999">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399999999999999">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399999999999999">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399999999999999">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399999999999999">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399999999999999">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399999999999999">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399999999999999">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399999999999999">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399999999999999">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399999999999999">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399999999999999">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399999999999999">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399999999999999">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399999999999999">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399999999999999">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399999999999999">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399999999999999">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399999999999999">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399999999999999">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399999999999999">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399999999999999">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399999999999999">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399999999999999">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399999999999999">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399999999999999">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399999999999999">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399999999999999">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399999999999999">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399999999999999">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399999999999999">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399999999999999">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399999999999999">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399999999999999">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399999999999999">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399999999999999">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399999999999999">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399999999999999">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399999999999999">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399999999999999">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399999999999999">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399999999999999">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399999999999999">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399999999999999">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399999999999999">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399999999999999">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399999999999999">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399999999999999">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399999999999999">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399999999999999">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399999999999999">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399999999999999">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399999999999999">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399999999999999">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399999999999999">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399999999999999">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399999999999999">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399999999999999">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399999999999999">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399999999999999">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399999999999999">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399999999999999">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399999999999999">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399999999999999">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399999999999999">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399999999999999">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399999999999999">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399999999999999">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399999999999999">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399999999999999">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399999999999999">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399999999999999">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399999999999999">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399999999999999">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399999999999999">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399999999999999">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399999999999999">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399999999999999">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399999999999999">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399999999999999">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399999999999999">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399999999999999">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399999999999999">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399999999999999">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399999999999999">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399999999999999">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399999999999999">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399999999999999">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399999999999999">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399999999999999">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399999999999999">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399999999999999">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399999999999999">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399999999999999">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399999999999999">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399999999999999">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399999999999999">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399999999999999">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399999999999999">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399999999999999">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399999999999999">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399999999999999">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399999999999999">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399999999999999">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399999999999999">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399999999999999">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399999999999999">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399999999999999">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399999999999999">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399999999999999">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399999999999999">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399999999999999">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399999999999999">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399999999999999">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399999999999999">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399999999999999">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399999999999999">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399999999999999">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399999999999999">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399999999999999">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399999999999999">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399999999999999">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399999999999999">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399999999999999">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399999999999999">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399999999999999">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399999999999999">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399999999999999">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399999999999999">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399999999999999">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399999999999999">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399999999999999">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399999999999999">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399999999999999">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399999999999999">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399999999999999">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399999999999999">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399999999999999">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399999999999999">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399999999999999">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399999999999999">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399999999999999">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399999999999999">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399999999999999">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399999999999999">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399999999999999">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399999999999999">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399999999999999">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399999999999999">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399999999999999">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399999999999999">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399999999999999">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399999999999999">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399999999999999">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399999999999999">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399999999999999">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399999999999999">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399999999999999">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399999999999999">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399999999999999">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399999999999999">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399999999999999">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399999999999999">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399999999999999">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399999999999999">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399999999999999">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399999999999999">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399999999999999">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399999999999999">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399999999999999">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399999999999999">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399999999999999">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399999999999999">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399999999999999">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399999999999999">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399999999999999">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399999999999999">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399999999999999">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399999999999999">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399999999999999">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399999999999999">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399999999999999">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399999999999999">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399999999999999">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399999999999999">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399999999999999">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399999999999999">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399999999999999">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399999999999999">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399999999999999">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399999999999999">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399999999999999">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399999999999999">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399999999999999">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399999999999999">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399999999999999">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399999999999999">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399999999999999">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399999999999999">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399999999999999">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399999999999999">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399999999999999">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399999999999999">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399999999999999">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399999999999999">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399999999999999">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399999999999999">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399999999999999">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399999999999999">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399999999999999">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399999999999999">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399999999999999">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399999999999999">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399999999999999">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399999999999999">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399999999999999">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399999999999999">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399999999999999">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399999999999999">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399999999999999">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399999999999999">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399999999999999">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399999999999999">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399999999999999">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399999999999999">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399999999999999">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399999999999999">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399999999999999">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399999999999999">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399999999999999">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399999999999999">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399999999999999">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399999999999999">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399999999999999">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399999999999999">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399999999999999">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399999999999999">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399999999999999">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399999999999999">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399999999999999">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399999999999999">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399999999999999">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399999999999999">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399999999999999">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399999999999999">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399999999999999">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399999999999999">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399999999999999">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399999999999999">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399999999999999">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399999999999999">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399999999999999">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399999999999999">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399999999999999">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399999999999999">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399999999999999">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399999999999999">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399999999999999">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399999999999999">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399999999999999">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399999999999999">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399999999999999">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399999999999999">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399999999999999">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399999999999999">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399999999999999">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399999999999999">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399999999999999">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399999999999999">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399999999999999">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399999999999999">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399999999999999">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399999999999999">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399999999999999">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399999999999999">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399999999999999">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399999999999999">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399999999999999">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399999999999999">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399999999999999">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399999999999999">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399999999999999">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399999999999999">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399999999999999">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399999999999999">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399999999999999">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399999999999999">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399999999999999">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399999999999999">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399999999999999">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399999999999999">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399999999999999">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399999999999999">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399999999999999">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399999999999999">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399999999999999">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399999999999999">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399999999999999">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399999999999999">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399999999999999">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399999999999999">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399999999999999">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399999999999999">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399999999999999">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399999999999999">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399999999999999">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399999999999999">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399999999999999">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399999999999999">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399999999999999">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399999999999999">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399999999999999">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399999999999999">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399999999999999">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399999999999999">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399999999999999">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399999999999999">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399999999999999">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399999999999999">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399999999999999">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399999999999999">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399999999999999">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399999999999999">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399999999999999">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399999999999999">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399999999999999">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399999999999999">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399999999999999">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399999999999999">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399999999999999">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399999999999999">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399999999999999">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399999999999999">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399999999999999">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399999999999999">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399999999999999">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399999999999999">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399999999999999">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399999999999999">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399999999999999">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399999999999999">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399999999999999">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399999999999999">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399999999999999">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399999999999999">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399999999999999">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399999999999999">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399999999999999">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399999999999999">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399999999999999">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399999999999999">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399999999999999">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399999999999999">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399999999999999">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399999999999999">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399999999999999">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399999999999999">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399999999999999">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399999999999999">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399999999999999">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399999999999999">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399999999999999">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399999999999999">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399999999999999">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399999999999999">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399999999999999">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399999999999999">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399999999999999">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399999999999999">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399999999999999">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399999999999999">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399999999999999">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399999999999999">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399999999999999">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399999999999999">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399999999999999">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399999999999999">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399999999999999">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399999999999999">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399999999999999">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399999999999999">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399999999999999">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399999999999999">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399999999999999">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399999999999999">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399999999999999">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399999999999999">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399999999999999">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399999999999999">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399999999999999">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399999999999999">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399999999999999">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399999999999999">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399999999999999">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399999999999999">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399999999999999">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399999999999999">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399999999999999">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399999999999999">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399999999999999">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399999999999999">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399999999999999">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399999999999999">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399999999999999">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399999999999999">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399999999999999">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399999999999999">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399999999999999">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399999999999999">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399999999999999">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399999999999999">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399999999999999">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399999999999999">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399999999999999">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399999999999999">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399999999999999">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399999999999999">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399999999999999">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399999999999999">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399999999999999">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399999999999999">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399999999999999">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399999999999999">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399999999999999">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399999999999999">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399999999999999">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399999999999999">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399999999999999">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399999999999999">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399999999999999">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399999999999999">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399999999999999">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399999999999999">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399999999999999">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399999999999999">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399999999999999">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399999999999999">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399999999999999">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399999999999999">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399999999999999">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399999999999999">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399999999999999">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399999999999999">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399999999999999">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399999999999999">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399999999999999">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399999999999999">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399999999999999">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399999999999999">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399999999999999">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399999999999999">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399999999999999">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399999999999999">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399999999999999">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399999999999999">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399999999999999">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399999999999999">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399999999999999">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399999999999999">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399999999999999">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399999999999999">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399999999999999">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399999999999999">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399999999999999">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399999999999999">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399999999999999">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399999999999999">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399999999999999">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399999999999999">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399999999999999">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399999999999999">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399999999999999">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399999999999999">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399999999999999">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399999999999999">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399999999999999">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399999999999999">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399999999999999">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399999999999999">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399999999999999">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399999999999999">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399999999999999">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399999999999999">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399999999999999">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399999999999999">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399999999999999">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399999999999999">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399999999999999">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399999999999999">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399999999999999">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399999999999999">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399999999999999">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399999999999999">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399999999999999">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399999999999999">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399999999999999">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399999999999999">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399999999999999">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399999999999999">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399999999999999">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399999999999999">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399999999999999">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399999999999999">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399999999999999">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399999999999999">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399999999999999">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399999999999999">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399999999999999">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399999999999999">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399999999999999">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399999999999999">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399999999999999">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399999999999999">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399999999999999">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399999999999999">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399999999999999">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399999999999999">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399999999999999">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399999999999999">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399999999999999">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399999999999999">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399999999999999">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399999999999999">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399999999999999">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399999999999999">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399999999999999">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399999999999999">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399999999999999">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399999999999999">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399999999999999">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399999999999999">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399999999999999">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399999999999999">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399999999999999">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399999999999999">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399999999999999">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399999999999999">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399999999999999">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399999999999999">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399999999999999">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399999999999999">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399999999999999">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399999999999999">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399999999999999">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399999999999999">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399999999999999">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399999999999999">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399999999999999">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399999999999999">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399999999999999">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399999999999999">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399999999999999">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399999999999999">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399999999999999">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399999999999999">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399999999999999">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399999999999999">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399999999999999">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399999999999999">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399999999999999">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399999999999999">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399999999999999">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399999999999999">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399999999999999">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399999999999999">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399999999999999">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399999999999999">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399999999999999">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399999999999999">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399999999999999">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399999999999999">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399999999999999">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399999999999999">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399999999999999">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399999999999999">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399999999999999">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399999999999999">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399999999999999">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399999999999999">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399999999999999">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399999999999999">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399999999999999">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399999999999999">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399999999999999">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399999999999999">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399999999999999">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399999999999999">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399999999999999">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399999999999999">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399999999999999">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399999999999999">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399999999999999">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399999999999999">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399999999999999">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399999999999999">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399999999999999">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399999999999999">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399999999999999">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399999999999999">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399999999999999">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399999999999999">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399999999999999">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399999999999999">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399999999999999">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399999999999999">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399999999999999">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399999999999999">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399999999999999">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399999999999999">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399999999999999">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399999999999999">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399999999999999">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399999999999999">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399999999999999">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399999999999999">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399999999999999">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399999999999999">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399999999999999">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399999999999999">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399999999999999">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399999999999999">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399999999999999">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399999999999999">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399999999999999">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399999999999999">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399999999999999">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399999999999999">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399999999999999">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399999999999999">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399999999999999">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399999999999999">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399999999999999">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399999999999999">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399999999999999">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399999999999999">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399999999999999">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399999999999999">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399999999999999">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399999999999999">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399999999999999">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399999999999999">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399999999999999">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399999999999999">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399999999999999">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399999999999999">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399999999999999">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399999999999999">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399999999999999">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399999999999999">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399999999999999">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399999999999999">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399999999999999">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399999999999999">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399999999999999">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399999999999999">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399999999999999">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399999999999999">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399999999999999">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399999999999999">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399999999999999">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399999999999999">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399999999999999">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399999999999999">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399999999999999">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399999999999999">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399999999999999">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399999999999999">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399999999999999">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399999999999999">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399999999999999">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399999999999999">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399999999999999">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399999999999999">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399999999999999">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399999999999999">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399999999999999">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399999999999999">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399999999999999">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399999999999999">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399999999999999">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399999999999999">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399999999999999">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399999999999999">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399999999999999">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399999999999999">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399999999999999">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399999999999999">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399999999999999">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399999999999999">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399999999999999">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399999999999999">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399999999999999">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399999999999999">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399999999999999">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399999999999999">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399999999999999">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399999999999999">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399999999999999">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399999999999999">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399999999999999">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399999999999999">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399999999999999">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399999999999999">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399999999999999">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399999999999999">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399999999999999">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399999999999999">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399999999999999">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399999999999999">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399999999999999">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399999999999999">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399999999999999">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399999999999999">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399999999999999">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399999999999999">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399999999999999">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399999999999999">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399999999999999">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399999999999999">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399999999999999">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399999999999999">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399999999999999">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399999999999999">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399999999999999">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399999999999999">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399999999999999">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399999999999999">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399999999999999">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399999999999999">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399999999999999">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399999999999999">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399999999999999">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399999999999999">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399999999999999">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399999999999999">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399999999999999">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399999999999999">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399999999999999">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399999999999999">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399999999999999">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399999999999999">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399999999999999">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399999999999999">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399999999999999">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399999999999999">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399999999999999">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399999999999999">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399999999999999">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399999999999999">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399999999999999">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399999999999999">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399999999999999">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399999999999999">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399999999999999">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399999999999999">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399999999999999">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399999999999999">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399999999999999">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399999999999999">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399999999999999">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399999999999999">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399999999999999">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399999999999999">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399999999999999">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399999999999999">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399999999999999">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399999999999999">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399999999999999">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399999999999999">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399999999999999">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399999999999999">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399999999999999">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399999999999999">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399999999999999">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399999999999999">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399999999999999">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399999999999999">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399999999999999">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399999999999999">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399999999999999">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399999999999999">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399999999999999">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399999999999999">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399999999999999">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399999999999999">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399999999999999">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399999999999999">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399999999999999">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399999999999999">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399999999999999">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399999999999999">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399999999999999">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399999999999999">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399999999999999">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399999999999999">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399999999999999">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399999999999999">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399999999999999">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399999999999999">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399999999999999">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399999999999999">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399999999999999">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399999999999999">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399999999999999">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399999999999999">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399999999999999">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399999999999999">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399999999999999">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399999999999999">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399999999999999">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399999999999999">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399999999999999">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399999999999999">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399999999999999">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399999999999999">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399999999999999">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399999999999999">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399999999999999">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399999999999999">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399999999999999">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399999999999999">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399999999999999">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399999999999999">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399999999999999">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399999999999999">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399999999999999">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399999999999999">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399999999999999">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399999999999999">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399999999999999">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399999999999999">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399999999999999">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399999999999999">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399999999999999">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399999999999999">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399999999999999">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399999999999999">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399999999999999">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399999999999999">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399999999999999">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399999999999999">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399999999999999">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399999999999999">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399999999999999">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399999999999999">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399999999999999">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399999999999999">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399999999999999">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399999999999999">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399999999999999">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399999999999999">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399999999999999">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399999999999999">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399999999999999">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399999999999999">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399999999999999">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399999999999999">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399999999999999">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399999999999999">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399999999999999">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399999999999999">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399999999999999">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399999999999999">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399999999999999">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399999999999999">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399999999999999">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399999999999999">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399999999999999">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399999999999999">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399999999999999">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399999999999999">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399999999999999">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399999999999999">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399999999999999">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399999999999999">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399999999999999">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399999999999999">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399999999999999">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399999999999999">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399999999999999">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399999999999999">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399999999999999">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399999999999999">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399999999999999">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399999999999999">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399999999999999">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399999999999999">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399999999999999">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399999999999999">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399999999999999">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399999999999999">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399999999999999">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399999999999999">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399999999999999">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399999999999999">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399999999999999">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399999999999999">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399999999999999">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399999999999999">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399999999999999">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399999999999999">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399999999999999">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399999999999999">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399999999999999">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399999999999999">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399999999999999">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399999999999999">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399999999999999">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399999999999999">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399999999999999">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399999999999999">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399999999999999">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399999999999999">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399999999999999">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399999999999999">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399999999999999">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399999999999999">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399999999999999">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399999999999999">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399999999999999">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399999999999999">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399999999999999">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399999999999999">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399999999999999">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399999999999999">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399999999999999">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399999999999999">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399999999999999">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399999999999999">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399999999999999">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399999999999999">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399999999999999">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399999999999999">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399999999999999">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399999999999999">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399999999999999">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399999999999999">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399999999999999">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399999999999999">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399999999999999">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399999999999999">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399999999999999">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399999999999999">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399999999999999">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399999999999999">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399999999999999">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399999999999999">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399999999999999">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399999999999999">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399999999999999">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399999999999999">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399999999999999">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399999999999999">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399999999999999">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399999999999999">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399999999999999">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399999999999999">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399999999999999">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399999999999999">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399999999999999">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399999999999999">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399999999999999">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399999999999999">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399999999999999">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399999999999999">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399999999999999">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399999999999999">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399999999999999">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399999999999999">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399999999999999">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399999999999999">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399999999999999">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399999999999999">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399999999999999">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399999999999999">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399999999999999">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399999999999999">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399999999999999">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399999999999999">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399999999999999">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399999999999999">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399999999999999">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399999999999999">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399999999999999">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399999999999999">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399999999999999">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399999999999999">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399999999999999">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399999999999999">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399999999999999">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399999999999999">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399999999999999">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399999999999999">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399999999999999">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399999999999999">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399999999999999">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399999999999999">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399999999999999">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399999999999999">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399999999999999">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399999999999999">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399999999999999">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399999999999999">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399999999999999">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399999999999999">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399999999999999">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399999999999999">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399999999999999">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399999999999999">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399999999999999">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399999999999999">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399999999999999">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399999999999999">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399999999999999">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399999999999999">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399999999999999">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399999999999999">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399999999999999">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399999999999999">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399999999999999">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399999999999999">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399999999999999">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399999999999999">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399999999999999">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399999999999999">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399999999999999">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399999999999999">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399999999999999">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399999999999999">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399999999999999">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399999999999999">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399999999999999">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399999999999999">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399999999999999">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399999999999999">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399999999999999">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399999999999999">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399999999999999">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399999999999999">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399999999999999">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399999999999999">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399999999999999">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399999999999999">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399999999999999">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399999999999999">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399999999999999">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399999999999999">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399999999999999">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399999999999999">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399999999999999">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399999999999999">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399999999999999">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399999999999999">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399999999999999">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399999999999999">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399999999999999">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399999999999999">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399999999999999">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399999999999999">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399999999999999">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399999999999999">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399999999999999">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399999999999999">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399999999999999">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399999999999999">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399999999999999">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399999999999999">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399999999999999">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399999999999999">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399999999999999">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399999999999999">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399999999999999">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399999999999999">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399999999999999">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399999999999999">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399999999999999">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399999999999999">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399999999999999">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399999999999999">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399999999999999">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399999999999999">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399999999999999">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399999999999999">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399999999999999">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399999999999999">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399999999999999">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399999999999999">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399999999999999">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399999999999999">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399999999999999">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399999999999999">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399999999999999">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399999999999999">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399999999999999">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399999999999999">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399999999999999">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399999999999999">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399999999999999">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399999999999999">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399999999999999">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399999999999999">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399999999999999">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399999999999999">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399999999999999">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399999999999999">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399999999999999">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399999999999999">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399999999999999">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399999999999999">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399999999999999">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399999999999999">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399999999999999">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399999999999999">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399999999999999">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399999999999999">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399999999999999">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399999999999999">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399999999999999">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399999999999999">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399999999999999">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399999999999999">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399999999999999">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399999999999999">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399999999999999">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399999999999999">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399999999999999">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399999999999999">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399999999999999">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399999999999999">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399999999999999">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399999999999999">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399999999999999">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399999999999999">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399999999999999">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399999999999999">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399999999999999">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399999999999999">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399999999999999">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399999999999999">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399999999999999">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399999999999999">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399999999999999">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399999999999999">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399999999999999">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399999999999999">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399999999999999">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399999999999999">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399999999999999">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399999999999999">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399999999999999">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399999999999999">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399999999999999">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399999999999999">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399999999999999">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399999999999999">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399999999999999">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399999999999999">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399999999999999">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399999999999999">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399999999999999">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399999999999999">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399999999999999">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399999999999999">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399999999999999">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399999999999999">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399999999999999">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399999999999999">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399999999999999">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399999999999999">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399999999999999">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399999999999999">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399999999999999">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399999999999999">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399999999999999">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399999999999999">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399999999999999">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399999999999999">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399999999999999">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399999999999999">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399999999999999">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399999999999999">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399999999999999">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399999999999999">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399999999999999">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399999999999999">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399999999999999">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399999999999999">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399999999999999">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399999999999999">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399999999999999">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399999999999999">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399999999999999">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399999999999999">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399999999999999">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399999999999999">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399999999999999">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399999999999999">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399999999999999">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399999999999999">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399999999999999">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399999999999999">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399999999999999">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399999999999999">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399999999999999">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399999999999999">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399999999999999">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399999999999999">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399999999999999">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399999999999999">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399999999999999">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399999999999999">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399999999999999">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399999999999999">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399999999999999">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399999999999999">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399999999999999">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399999999999999">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399999999999999">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399999999999999">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399999999999999">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399999999999999">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399999999999999">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399999999999999">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399999999999999">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399999999999999">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399999999999999">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399999999999999">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399999999999999">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399999999999999">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399999999999999">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399999999999999">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399999999999999">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399999999999999">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399999999999999">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399999999999999">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399999999999999">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399999999999999">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399999999999999">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399999999999999">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399999999999999">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399999999999999">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399999999999999">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399999999999999">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399999999999999">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399999999999999">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399999999999999">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399999999999999">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399999999999999">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399999999999999">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399999999999999">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399999999999999">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399999999999999">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399999999999999">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399999999999999">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399999999999999">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399999999999999">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399999999999999">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399999999999999">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399999999999999">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399999999999999">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399999999999999">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399999999999999">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399999999999999">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399999999999999">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399999999999999">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399999999999999">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399999999999999">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399999999999999">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399999999999999">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399999999999999">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399999999999999">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399999999999999">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399999999999999">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399999999999999">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399999999999999">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399999999999999">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399999999999999">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399999999999999">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399999999999999">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399999999999999">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399999999999999">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399999999999999">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399999999999999">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399999999999999">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399999999999999">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399999999999999">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399999999999999">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399999999999999">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399999999999999">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399999999999999">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399999999999999">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399999999999999">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399999999999999">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399999999999999">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399999999999999">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399999999999999">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399999999999999">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399999999999999">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399999999999999">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399999999999999">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399999999999999">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399999999999999">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399999999999999">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399999999999999">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399999999999999">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399999999999999">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399999999999999">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399999999999999">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399999999999999">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399999999999999">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399999999999999">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399999999999999">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399999999999999">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399999999999999">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399999999999999">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399999999999999">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399999999999999">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399999999999999">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399999999999999">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399999999999999">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399999999999999">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399999999999999">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399999999999999">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399999999999999">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399999999999999">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399999999999999">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399999999999999">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399999999999999">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399999999999999">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399999999999999">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399999999999999">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399999999999999">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399999999999999">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399999999999999">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399999999999999">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399999999999999">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399999999999999">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399999999999999">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399999999999999">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399999999999999">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399999999999999">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399999999999999">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399999999999999">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399999999999999">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399999999999999">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399999999999999">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399999999999999">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399999999999999">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399999999999999">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399999999999999">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399999999999999">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399999999999999">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399999999999999">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399999999999999">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399999999999999">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399999999999999">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399999999999999">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399999999999999">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399999999999999">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399999999999999">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399999999999999">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399999999999999">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399999999999999">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399999999999999">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399999999999999">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399999999999999">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399999999999999">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399999999999999">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399999999999999">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399999999999999">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399999999999999">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399999999999999">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399999999999999">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399999999999999">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399999999999999">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399999999999999">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399999999999999">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399999999999999">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399999999999999">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399999999999999">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399999999999999">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399999999999999">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399999999999999">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399999999999999">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399999999999999">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399999999999999">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399999999999999">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399999999999999">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399999999999999">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399999999999999">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399999999999999">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399999999999999">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399999999999999">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399999999999999">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399999999999999">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399999999999999">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399999999999999">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399999999999999">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399999999999999">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399999999999999">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399999999999999">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399999999999999">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399999999999999">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399999999999999">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399999999999999">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399999999999999">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399999999999999">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399999999999999">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399999999999999">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399999999999999">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399999999999999">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399999999999999">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399999999999999">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399999999999999">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399999999999999">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399999999999999">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399999999999999">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399999999999999">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399999999999999">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399999999999999">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399999999999999">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399999999999999">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399999999999999">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399999999999999">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399999999999999">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399999999999999">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399999999999999">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399999999999999">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399999999999999">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399999999999999">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399999999999999">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399999999999999">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399999999999999">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399999999999999">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399999999999999">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399999999999999">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399999999999999">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399999999999999">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399999999999999">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399999999999999">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399999999999999">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399999999999999">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399999999999999">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399999999999999">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399999999999999">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399999999999999">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399999999999999">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399999999999999">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399999999999999">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399999999999999">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399999999999999">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399999999999999">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399999999999999">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399999999999999">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399999999999999">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399999999999999">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399999999999999">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399999999999999">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399999999999999">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399999999999999">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399999999999999">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399999999999999">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399999999999999">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399999999999999">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399999999999999">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399999999999999">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399999999999999">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399999999999999">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399999999999999">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399999999999999">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399999999999999">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399999999999999">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399999999999999">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399999999999999">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399999999999999">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399999999999999">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399999999999999">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399999999999999">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399999999999999">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399999999999999">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399999999999999">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399999999999999">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399999999999999">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399999999999999">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399999999999999">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399999999999999">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399999999999999">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399999999999999">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399999999999999">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399999999999999">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399999999999999">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399999999999999">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399999999999999">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399999999999999">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399999999999999">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399999999999999">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399999999999999">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399999999999999">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399999999999999">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399999999999999">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399999999999999">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399999999999999">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399999999999999">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399999999999999">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399999999999999">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399999999999999">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399999999999999">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399999999999999">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399999999999999">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399999999999999">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399999999999999">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399999999999999">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399999999999999">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399999999999999">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399999999999999">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399999999999999">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399999999999999">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399999999999999">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399999999999999">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399999999999999">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399999999999999">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399999999999999">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399999999999999">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399999999999999">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399999999999999">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399999999999999">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399999999999999">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399999999999999">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399999999999999">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399999999999999">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399999999999999">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399999999999999">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399999999999999">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399999999999999">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399999999999999">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399999999999999">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399999999999999">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399999999999999">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399999999999999">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399999999999999">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399999999999999">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399999999999999">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399999999999999">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399999999999999">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399999999999999">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399999999999999">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399999999999999">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399999999999999">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399999999999999">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399999999999999">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399999999999999">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399999999999999">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399999999999999">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399999999999999">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399999999999999">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399999999999999">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399999999999999">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399999999999999">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399999999999999">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399999999999999">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399999999999999">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399999999999999">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399999999999999">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399999999999999">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399999999999999">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399999999999999">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399999999999999">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399999999999999">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399999999999999">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399999999999999">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399999999999999">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399999999999999">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399999999999999">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399999999999999">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399999999999999">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399999999999999">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399999999999999">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399999999999999">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399999999999999">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399999999999999">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399999999999999">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399999999999999">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399999999999999">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399999999999999">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399999999999999">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399999999999999">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399999999999999">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399999999999999">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399999999999999">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399999999999999">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399999999999999">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399999999999999">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399999999999999">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399999999999999">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399999999999999">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399999999999999">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399999999999999">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399999999999999">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399999999999999">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399999999999999">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399999999999999">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399999999999999">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399999999999999">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399999999999999">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399999999999999">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399999999999999">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399999999999999">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399999999999999">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399999999999999">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399999999999999">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399999999999999">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399999999999999">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399999999999999">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399999999999999">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399999999999999">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399999999999999">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399999999999999">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399999999999999">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399999999999999">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399999999999999">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399999999999999">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399999999999999">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399999999999999">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399999999999999">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399999999999999">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399999999999999">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399999999999999">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399999999999999">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399999999999999">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399999999999999">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399999999999999">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399999999999999">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399999999999999">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399999999999999">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399999999999999">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399999999999999">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399999999999999">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399999999999999">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399999999999999">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399999999999999">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399999999999999">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399999999999999">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399999999999999">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399999999999999">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399999999999999">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399999999999999">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399999999999999">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399999999999999">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399999999999999">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399999999999999">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399999999999999">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399999999999999">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399999999999999">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399999999999999">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399999999999999">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399999999999999">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399999999999999">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399999999999999">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399999999999999">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399999999999999">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399999999999999">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399999999999999">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399999999999999">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399999999999999">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399999999999999">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399999999999999">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399999999999999">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399999999999999">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399999999999999">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399999999999999">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399999999999999">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399999999999999">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399999999999999">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399999999999999">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399999999999999">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399999999999999">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399999999999999">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399999999999999">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399999999999999">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399999999999999">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399999999999999">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399999999999999">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399999999999999">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399999999999999">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399999999999999">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399999999999999">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399999999999999">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399999999999999">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399999999999999">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399999999999999">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399999999999999">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399999999999999">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399999999999999">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399999999999999">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399999999999999">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399999999999999">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399999999999999">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399999999999999">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399999999999999">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399999999999999">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399999999999999">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399999999999999">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399999999999999">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399999999999999">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399999999999999">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399999999999999">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399999999999999">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399999999999999">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399999999999999">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399999999999999">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399999999999999">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399999999999999">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399999999999999">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399999999999999">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399999999999999">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399999999999999">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399999999999999">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399999999999999">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399999999999999">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399999999999999">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399999999999999">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399999999999999">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399999999999999">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399999999999999">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399999999999999">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399999999999999">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399999999999999">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399999999999999">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399999999999999">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399999999999999">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399999999999999">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399999999999999">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399999999999999">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399999999999999">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399999999999999">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399999999999999">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399999999999999">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399999999999999">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399999999999999">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399999999999999">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399999999999999">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399999999999999">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399999999999999">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399999999999999">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399999999999999">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399999999999999">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399999999999999">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399999999999999">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399999999999999">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399999999999999">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399999999999999">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399999999999999">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399999999999999">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399999999999999">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399999999999999">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399999999999999">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399999999999999">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399999999999999">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399999999999999">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399999999999999">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399999999999999">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399999999999999">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399999999999999">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399999999999999">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399999999999999">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399999999999999">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399999999999999">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399999999999999">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399999999999999">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399999999999999">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399999999999999">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399999999999999">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399999999999999">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399999999999999">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399999999999999">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399999999999999">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399999999999999">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399999999999999">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399999999999999">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399999999999999">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399999999999999">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399999999999999">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399999999999999">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399999999999999">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399999999999999">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399999999999999">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399999999999999">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399999999999999">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399999999999999">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399999999999999">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399999999999999">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399999999999999">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399999999999999">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399999999999999">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399999999999999">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399999999999999">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399999999999999">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399999999999999">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399999999999999">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399999999999999">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399999999999999">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399999999999999">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399999999999999">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399999999999999">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399999999999999">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399999999999999">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399999999999999">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399999999999999">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399999999999999">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399999999999999">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399999999999999">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399999999999999">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399999999999999">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399999999999999">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399999999999999">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399999999999999">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399999999999999">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399999999999999">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399999999999999">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399999999999999">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399999999999999">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399999999999999">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399999999999999">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399999999999999">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399999999999999">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399999999999999">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399999999999999">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399999999999999">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399999999999999">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399999999999999">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399999999999999">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399999999999999">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399999999999999">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399999999999999">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399999999999999">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399999999999999">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399999999999999">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399999999999999">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399999999999999">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399999999999999">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399999999999999">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399999999999999">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399999999999999">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399999999999999">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399999999999999">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399999999999999">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399999999999999">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399999999999999">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399999999999999">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399999999999999">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399999999999999">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399999999999999">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399999999999999">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399999999999999">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399999999999999">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399999999999999">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399999999999999">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399999999999999">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399999999999999">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399999999999999">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399999999999999">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399999999999999">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399999999999999">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399999999999999">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399999999999999">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399999999999999">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399999999999999">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399999999999999">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399999999999999">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399999999999999">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399999999999999">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399999999999999">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399999999999999">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399999999999999">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399999999999999">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399999999999999">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399999999999999">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399999999999999">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399999999999999">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399999999999999">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399999999999999">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399999999999999">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399999999999999">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399999999999999">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399999999999999">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399999999999999">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399999999999999">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399999999999999">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399999999999999">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399999999999999">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399999999999999">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399999999999999">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399999999999999">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399999999999999">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399999999999999">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399999999999999">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399999999999999">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399999999999999">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399999999999999">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399999999999999">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399999999999999">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399999999999999">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399999999999999">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399999999999999">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399999999999999">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399999999999999">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399999999999999">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399999999999999">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399999999999999">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399999999999999">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399999999999999">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399999999999999">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399999999999999">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399999999999999">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399999999999999">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399999999999999">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399999999999999">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399999999999999">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399999999999999">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399999999999999">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399999999999999">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399999999999999">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399999999999999">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399999999999999">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399999999999999">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399999999999999">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399999999999999">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399999999999999">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399999999999999">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399999999999999">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399999999999999">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399999999999999">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399999999999999">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399999999999999">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399999999999999">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399999999999999">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399999999999999">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399999999999999">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399999999999999">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399999999999999">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399999999999999">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399999999999999">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399999999999999">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399999999999999">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399999999999999">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399999999999999">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399999999999999">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399999999999999">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399999999999999">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399999999999999">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399999999999999">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399999999999999">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399999999999999">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399999999999999">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399999999999999">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399999999999999">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399999999999999">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399999999999999">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399999999999999">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399999999999999">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399999999999999">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399999999999999">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399999999999999">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399999999999999">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399999999999999">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399999999999999">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399999999999999">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399999999999999">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399999999999999">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399999999999999">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399999999999999">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399999999999999">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399999999999999">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399999999999999">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399999999999999">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399999999999999">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399999999999999">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399999999999999">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399999999999999">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399999999999999">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399999999999999">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399999999999999">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399999999999999">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399999999999999">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399999999999999">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399999999999999">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399999999999999">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399999999999999">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399999999999999">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399999999999999">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399999999999999">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399999999999999">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399999999999999">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399999999999999">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399999999999999">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399999999999999">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399999999999999">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399999999999999">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399999999999999">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399999999999999">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399999999999999">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399999999999999">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399999999999999">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399999999999999">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399999999999999">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399999999999999">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399999999999999">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399999999999999">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399999999999999">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399999999999999">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399999999999999">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399999999999999">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399999999999999">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399999999999999">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399999999999999">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399999999999999">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399999999999999">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399999999999999">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399999999999999">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399999999999999">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399999999999999">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399999999999999">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399999999999999">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399999999999999">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399999999999999">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399999999999999">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399999999999999">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399999999999999">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399999999999999">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399999999999999">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399999999999999">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399999999999999">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399999999999999">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399999999999999">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399999999999999">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399999999999999">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399999999999999">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399999999999999">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399999999999999">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399999999999999">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399999999999999">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399999999999999">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399999999999999">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399999999999999">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399999999999999">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399999999999999">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399999999999999">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399999999999999">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399999999999999">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399999999999999">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399999999999999">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399999999999999">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399999999999999">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399999999999999">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399999999999999">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399999999999999">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399999999999999">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399999999999999">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399999999999999">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399999999999999">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399999999999999">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399999999999999">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399999999999999">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399999999999999">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399999999999999">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399999999999999">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399999999999999">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399999999999999">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399999999999999">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399999999999999">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399999999999999">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399999999999999">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399999999999999">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399999999999999">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399999999999999">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399999999999999">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399999999999999">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399999999999999">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399999999999999">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399999999999999">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399999999999999">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399999999999999">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399999999999999">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399999999999999">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399999999999999">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399999999999999">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399999999999999">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399999999999999">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399999999999999">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399999999999999">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399999999999999">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399999999999999">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399999999999999">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399999999999999">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399999999999999">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399999999999999">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399999999999999">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399999999999999">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399999999999999">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399999999999999">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399999999999999">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399999999999999">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399999999999999">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399999999999999">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399999999999999">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399999999999999">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399999999999999">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399999999999999">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399999999999999">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399999999999999">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399999999999999">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399999999999999">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399999999999999">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399999999999999">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399999999999999">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399999999999999">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399999999999999">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399999999999999">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399999999999999">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399999999999999">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399999999999999">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399999999999999">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399999999999999">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399999999999999">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399999999999999">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399999999999999">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399999999999999">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399999999999999">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399999999999999">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399999999999999">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399999999999999">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399999999999999">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399999999999999">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399999999999999">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399999999999999">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399999999999999">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399999999999999">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399999999999999">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399999999999999">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399999999999999">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399999999999999">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399999999999999">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399999999999999">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399999999999999">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399999999999999">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399999999999999">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399999999999999">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399999999999999">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399999999999999">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399999999999999">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8"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2" thickTop="1">
      <c r="U2506" s="282"/>
      <c r="V2506" s="282"/>
      <c r="W2506" s="282"/>
      <c r="X2506" s="282"/>
      <c r="Y2506" s="282"/>
      <c r="Z2506" s="282"/>
    </row>
    <row r="2507" spans="1:28">
      <c r="U2507" s="282"/>
      <c r="V2507" s="282"/>
      <c r="W2507" s="282"/>
      <c r="X2507" s="282"/>
      <c r="Y2507" s="282"/>
      <c r="Z2507" s="282"/>
    </row>
    <row r="2508" spans="1:28" ht="13.2"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97" type="noConversion"/>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90625" defaultRowHeight="12.6"/>
  <cols>
    <col min="1" max="1" width="45.08984375" style="22" customWidth="1"/>
    <col min="2" max="2" width="42.90625" style="25" customWidth="1"/>
    <col min="3" max="3" width="51.6328125" style="22" customWidth="1"/>
    <col min="4" max="4" width="29.08984375" style="25" customWidth="1"/>
    <col min="5" max="5" width="9" style="24" hidden="1" customWidth="1"/>
    <col min="6" max="6" width="13.6328125" style="22" hidden="1" customWidth="1"/>
    <col min="7" max="7" width="13.36328125" style="22" hidden="1" customWidth="1"/>
    <col min="8" max="8" width="9" style="22" hidden="1" customWidth="1"/>
    <col min="9" max="9" width="9" style="178" hidden="1" customWidth="1"/>
    <col min="10" max="10" width="48.90625" style="22" hidden="1" customWidth="1"/>
    <col min="11" max="11" width="9" style="22" hidden="1" customWidth="1"/>
    <col min="12" max="14" width="8.90625" style="22" hidden="1" customWidth="1"/>
    <col min="15" max="18" width="8.90625" style="22" customWidth="1"/>
    <col min="19" max="16384" width="8.90625" style="22"/>
  </cols>
  <sheetData>
    <row r="1" spans="1:10" ht="32.4">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6.2">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6.2">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Proteus Industries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Jon Heiner</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jon@proteusind.com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650-943-4102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Jon Heiner</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jon@proteusind.com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44315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
      <c r="A13" s="102" t="str">
        <f ca="1">Declaration!B25</f>
        <v>1) Is any 3TG intentionally added or used in the product(s) or in the production process? (*)</v>
      </c>
      <c r="B13" s="105"/>
      <c r="C13" s="105"/>
      <c r="D13" s="109"/>
      <c r="E13" s="84" t="s">
        <v>831</v>
      </c>
      <c r="F13" s="106"/>
      <c r="G13" s="24"/>
      <c r="H13" s="83">
        <f t="shared" si="3"/>
        <v>0</v>
      </c>
    </row>
    <row r="14" spans="1:10" ht="26.4">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0.4">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Yes</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102" t="str">
        <f ca="1">Declaration!B55</f>
        <v>6) What percentage of relevant suppliers have provided a response to your supply chain survey?  (*)</v>
      </c>
      <c r="B38" s="105"/>
      <c r="C38" s="105"/>
      <c r="D38" s="109"/>
      <c r="E38" s="84" t="s">
        <v>828</v>
      </c>
      <c r="F38" s="106"/>
      <c r="G38" s="24"/>
      <c r="H38" s="24"/>
    </row>
    <row r="39" spans="1:10" ht="26.4">
      <c r="A39" s="103" t="str">
        <f ca="1">Declaration!B56</f>
        <v>Tantalum  (*)</v>
      </c>
      <c r="B39" s="299" t="str">
        <f>IF(AND($B$14="Yes",$B$19="Yes"),Declaration!D56,0)</f>
        <v>Greater than 75%</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4">
      <c r="A40" s="103" t="str">
        <f ca="1">Declaration!B57</f>
        <v>Tin  (*)</v>
      </c>
      <c r="B40" s="299" t="str">
        <f>IF(AND($B$15="Yes",$B$20="Yes"),Declaration!D57,0)</f>
        <v>Greater than 75%</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4">
      <c r="A41" s="103" t="str">
        <f ca="1">Declaration!B58</f>
        <v>Gold  (*)</v>
      </c>
      <c r="B41" s="299" t="str">
        <f>IF(AND($B$16="Yes",$B$21="Yes"),Declaration!D58,0)</f>
        <v>Greater than 75%</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4">
      <c r="A42" s="103" t="str">
        <f ca="1">Declaration!B59</f>
        <v>Tungsten  (*)</v>
      </c>
      <c r="B42" s="299" t="str">
        <f>IF(AND($B$17="Yes",$B$22="Yes"),Declaration!D59,0)</f>
        <v>Greater than 75%</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0.4">
      <c r="A43" s="102" t="str">
        <f ca="1">Declaration!B61</f>
        <v>7) Have you identified all of the smelters supplying the 3TG to your supply chain?  (*)</v>
      </c>
      <c r="B43" s="105"/>
      <c r="C43" s="105"/>
      <c r="D43" s="109"/>
      <c r="E43" s="84" t="s">
        <v>829</v>
      </c>
      <c r="F43" s="106"/>
      <c r="G43" s="24"/>
      <c r="H43" s="24"/>
    </row>
    <row r="44" spans="1:10" ht="51.6">
      <c r="A44" s="103" t="str">
        <f ca="1">Declaration!B62</f>
        <v>Tantalum  (*)</v>
      </c>
      <c r="B44" s="102" t="str">
        <f>IF(AND($B$14="Yes",$B$19="Yes"),Declaration!D62,0)</f>
        <v>No</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6">
      <c r="A45" s="103" t="str">
        <f ca="1">Declaration!B63</f>
        <v>Tin  (*)</v>
      </c>
      <c r="B45" s="102" t="str">
        <f>IF(AND($B$15="Yes",$B$20="Yes"),Declaration!D63,0)</f>
        <v>No</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6">
      <c r="A46" s="103" t="str">
        <f ca="1">Declaration!B64</f>
        <v>Gold  (*)</v>
      </c>
      <c r="B46" s="102" t="str">
        <f>IF(AND($B$16="Yes",$B$21="Yes"),Declaration!D64,0)</f>
        <v>No</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6">
      <c r="A47" s="103" t="str">
        <f ca="1">Declaration!B65</f>
        <v>Tungsten  (*)</v>
      </c>
      <c r="B47" s="102" t="str">
        <f>IF(AND($B$17="Yes",$B$22="Yes"),Declaration!D65,0)</f>
        <v>No</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2">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700000000000003" customHeight="1">
      <c r="A56" s="102" t="s">
        <v>6</v>
      </c>
      <c r="B56" s="102" t="str">
        <f>Declaration!G77</f>
        <v>www.proteusind.com/conflict-minerals-policy/</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0.4">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4.4"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2">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2"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7" type="noConversion"/>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90625" defaultRowHeight="12.6"/>
  <cols>
    <col min="1" max="1" width="3.08984375" style="116" customWidth="1"/>
    <col min="2" max="2" width="39.90625" style="117" customWidth="1"/>
    <col min="3" max="3" width="39.90625" style="116" customWidth="1"/>
    <col min="4" max="4" width="58.90625" style="116" customWidth="1"/>
    <col min="5" max="5" width="1.6328125" style="116" customWidth="1"/>
    <col min="6" max="6" width="9" customWidth="1"/>
    <col min="7" max="16384" width="8.9062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ht="13.2">
      <c r="A2" s="29"/>
      <c r="B2" s="147"/>
      <c r="C2" s="147"/>
      <c r="D2"/>
      <c r="E2" s="30"/>
    </row>
    <row r="3" spans="1:6" ht="13.2">
      <c r="A3" s="29"/>
      <c r="B3" s="147"/>
      <c r="C3" s="147"/>
      <c r="D3" s="147"/>
      <c r="E3" s="30"/>
    </row>
    <row r="4" spans="1:6" ht="15.75" customHeight="1">
      <c r="A4" s="29"/>
      <c r="B4" s="445" t="s">
        <v>921</v>
      </c>
      <c r="C4" s="445"/>
      <c r="D4" s="445"/>
      <c r="E4" s="30"/>
    </row>
    <row r="5" spans="1:6" ht="1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2"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phoneticPr fontId="97"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90625" defaultRowHeight="12.6"/>
  <cols>
    <col min="1" max="1" width="9.08984375" style="227" bestFit="1" customWidth="1"/>
    <col min="2" max="2" width="42.90625" style="227" customWidth="1"/>
    <col min="3" max="3" width="63.90625" style="227" customWidth="1"/>
    <col min="4" max="4" width="25.6328125" style="227" customWidth="1"/>
    <col min="5" max="5" width="12.6328125" style="227" customWidth="1"/>
    <col min="6" max="6" width="12.6328125" style="228" customWidth="1"/>
    <col min="7" max="7" width="15.36328125" style="227" customWidth="1"/>
    <col min="8" max="8" width="23.90625" style="227" customWidth="1"/>
    <col min="9" max="9" width="28.08984375" style="227" customWidth="1"/>
    <col min="10" max="10" width="48.26953125" style="227" hidden="1" customWidth="1"/>
    <col min="11" max="11" width="49.7265625" style="227" hidden="1" customWidth="1"/>
    <col min="12" max="13" width="49.7265625" style="227" customWidth="1"/>
    <col min="14" max="16384" width="8.9062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0.4">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2"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7" type="noConversion"/>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133" zoomScale="70" zoomScaleNormal="70" zoomScalePageLayoutView="90" workbookViewId="0">
      <selection activeCell="D49" sqref="D49"/>
    </sheetView>
  </sheetViews>
  <sheetFormatPr defaultColWidth="8.90625" defaultRowHeight="13.8"/>
  <cols>
    <col min="1" max="1" width="14.6328125" style="293" customWidth="1"/>
    <col min="2" max="2" width="14" style="293" customWidth="1"/>
    <col min="3" max="3" width="6.08984375" style="293" customWidth="1"/>
    <col min="4" max="4" width="56.26953125" style="293" customWidth="1"/>
    <col min="5" max="5" width="53.7265625" style="288" customWidth="1"/>
    <col min="6" max="6" width="54.08984375" style="293" customWidth="1"/>
    <col min="7" max="7" width="68.26953125" style="293" customWidth="1"/>
    <col min="8" max="8" width="49.26953125" style="293" customWidth="1"/>
    <col min="9" max="9" width="51.6328125" style="293" customWidth="1"/>
    <col min="10" max="10" width="50.26953125" style="293" customWidth="1"/>
    <col min="11" max="11" width="51.90625" style="255" customWidth="1"/>
    <col min="12" max="12" width="66.90625" style="326" customWidth="1"/>
    <col min="13" max="13" width="46.08984375" style="187" customWidth="1"/>
    <col min="14" max="15" width="8.90625" style="187" customWidth="1"/>
    <col min="16" max="16384" width="8.9062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2.8">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45">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1.4">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7.6">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6">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41.4">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1.4">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1.4">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41.4">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69">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27.6">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82.8">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27.6">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69">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1.4">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1.4">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38.6">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13.4">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6">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41.4">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360">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14.2">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43.6">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15.2">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15.2">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1.4">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57.6">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96.6">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10.4">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00.8">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358.8">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01.6">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187.2">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86.4">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1.4">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7.6">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86.4">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69">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5.2">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38">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2.8">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82.8">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10.4">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69">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3.2">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3.2">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0.4">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17.39999999999998">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82.8">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79.4">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193.2">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15.2">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41.4">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193.2">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27.6">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03.60000000000002">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51.80000000000001">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38">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289.8">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96.6">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41.4">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69">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7.6">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1.4">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7.6">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7.6">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7.6">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7.6">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7.6">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7.6">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7"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7.6">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7.6">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7.6">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7.6">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2.8">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76.4">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24.2">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51.80000000000001">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69">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38">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10.4">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38">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6">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20.8">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10.4">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17.39999999999998">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07">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7.6">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69">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7.6">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51.8000000000000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96.6">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276">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48.4">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7.6">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38">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82.8">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07">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193.2">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179.4">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7.6">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7.6">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41.4">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43.2">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5.2">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7.6">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7.6">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7.6">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7.6">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27.6">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28.8">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14.4">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0.4">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7.799999999999997">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37.799999999999997">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28.8">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28.8">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7.799999999999997">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7.6">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69">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0.4">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7.799999999999997">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28.8">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1.4">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27.6">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28.8">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14.4">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14.4">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14.4">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14.4">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14.4">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14.4">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14.4">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14.4">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14.4">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7.6">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7.6">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7.6">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7.6">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7.6">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7.6">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7.6">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1.4">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1.4">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5.2">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27.6">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1.4">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6">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5.2">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7.6">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27.6">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7.6">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7.6">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27.6">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7.6">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1.4">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41.4">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27.6">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1.4">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1.4">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27.6">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1.4">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5.2">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5.2">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5.2">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5.2">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69">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69">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69">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69">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55.2">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55.2">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55.2">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55.2">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55.2">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55.2">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55.2">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55.2">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41.4">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5.2">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5.2">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5.2">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1.4">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1.4">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1.4">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1.4">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5.2">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55.2">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5.2">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82.8">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41.4">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41.4">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1.4">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41.4">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41.4">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41.4">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7.6">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2.8">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7.6">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7.6">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69">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7.6">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27.6">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69">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7"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purl.org/dc/terms/"/>
    <ds:schemaRef ds:uri="http://purl.org/dc/elements/1.1/"/>
    <ds:schemaRef ds:uri="http://www.w3.org/XML/1998/namespace"/>
    <ds:schemaRef ds:uri="http://schemas.microsoft.com/office/2006/metadata/properties"/>
    <ds:schemaRef ds:uri="http://purl.org/dc/dcmitype/"/>
    <ds:schemaRef ds:uri="060324a1-f66f-4c36-a8ec-beadbf2f4219"/>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 Heiner</cp:lastModifiedBy>
  <cp:lastPrinted>2015-04-21T20:47:43Z</cp:lastPrinted>
  <dcterms:created xsi:type="dcterms:W3CDTF">2010-06-21T21:00:23Z</dcterms:created>
  <dcterms:modified xsi:type="dcterms:W3CDTF">2021-05-05T18:04:08Z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